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840" windowHeight="13785"/>
  </bookViews>
  <sheets>
    <sheet name="電流モード位相補償" sheetId="1" r:id="rId1"/>
  </sheets>
  <calcPr calcId="144525" concurrentCalc="0"/>
</workbook>
</file>

<file path=xl/sharedStrings.xml><?xml version="1.0" encoding="utf-8"?>
<sst xmlns="http://schemas.openxmlformats.org/spreadsheetml/2006/main" count="69">
  <si>
    <t>https://analogista.jp/</t>
  </si>
  <si>
    <t>Q=</t>
  </si>
  <si>
    <t>VIN</t>
  </si>
  <si>
    <t>V</t>
  </si>
  <si>
    <t>入力電圧</t>
  </si>
  <si>
    <t>ゲイン計算</t>
  </si>
  <si>
    <t>VOUT</t>
  </si>
  <si>
    <t>出力電圧</t>
  </si>
  <si>
    <t>周波数</t>
  </si>
  <si>
    <t>エラーアンプ</t>
  </si>
  <si>
    <t>出力</t>
  </si>
  <si>
    <t>fsw/2　2次遅れ系</t>
  </si>
  <si>
    <t>トータル</t>
  </si>
  <si>
    <t>dB</t>
  </si>
  <si>
    <t>位相</t>
  </si>
  <si>
    <t>合計</t>
  </si>
  <si>
    <t>VFB</t>
  </si>
  <si>
    <t>フィードバック端子電圧</t>
  </si>
  <si>
    <t>分子RE</t>
  </si>
  <si>
    <t>分子IM</t>
  </si>
  <si>
    <t>分母RE</t>
  </si>
  <si>
    <t>分母IM</t>
  </si>
  <si>
    <t>fsw/2 ポール1</t>
  </si>
  <si>
    <t>fsw/2 ポール2</t>
  </si>
  <si>
    <t>fsw/2 合計</t>
  </si>
  <si>
    <t>IOUT</t>
  </si>
  <si>
    <t>A</t>
  </si>
  <si>
    <t>出力電流</t>
  </si>
  <si>
    <t>Ro</t>
  </si>
  <si>
    <t>Ω</t>
  </si>
  <si>
    <t>出力負荷抵抗</t>
  </si>
  <si>
    <t>fsw</t>
  </si>
  <si>
    <t>kHz</t>
  </si>
  <si>
    <t>スイッチング周波数</t>
  </si>
  <si>
    <t>Gea</t>
  </si>
  <si>
    <t>エラーアンプオープンループゲイン</t>
  </si>
  <si>
    <t>Gm_ea</t>
  </si>
  <si>
    <t>uA/V</t>
  </si>
  <si>
    <t>エラーアンプトランスコンダクタンス</t>
  </si>
  <si>
    <t>Zea</t>
  </si>
  <si>
    <t>MΩ</t>
  </si>
  <si>
    <t>エラーアンプ出力インピーダンス</t>
  </si>
  <si>
    <t>Gm_p</t>
  </si>
  <si>
    <t>A/V</t>
  </si>
  <si>
    <t>エラーアンプ出力からSWノードまでの電流ゲイン</t>
  </si>
  <si>
    <t>Cout</t>
  </si>
  <si>
    <t>uF</t>
  </si>
  <si>
    <t>出力コンデンサ容量</t>
  </si>
  <si>
    <t>Resr</t>
  </si>
  <si>
    <t>mΩ</t>
  </si>
  <si>
    <t>出力コンデンサのESR</t>
  </si>
  <si>
    <t>Ccomp</t>
  </si>
  <si>
    <t>エラーアンプ出力コンデンサ容量</t>
  </si>
  <si>
    <t>Rcomp</t>
  </si>
  <si>
    <t>kΩ</t>
  </si>
  <si>
    <t>エラーアンプ出力抵抗</t>
  </si>
  <si>
    <t>Gol</t>
  </si>
  <si>
    <t>レギュレータ全体のオープンループゲイン</t>
  </si>
  <si>
    <t>計算結果</t>
  </si>
  <si>
    <t>Greg</t>
  </si>
  <si>
    <t>fpea</t>
  </si>
  <si>
    <t>Hz</t>
  </si>
  <si>
    <t>エラーアンプポール（1stポール）</t>
  </si>
  <si>
    <t>fzea</t>
  </si>
  <si>
    <t>エラーアンプゼロ</t>
  </si>
  <si>
    <t>fpo</t>
  </si>
  <si>
    <t>出力コンデンサによるポール</t>
  </si>
  <si>
    <t>fzo</t>
  </si>
  <si>
    <t>出力コンデンサESRによるゼロ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</si>
</sst>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_-&quot;\&quot;* #,##0_-\ ;\-&quot;\&quot;* #,##0_-\ ;_-&quot;\&quot;* &quot;-&quot;??_-\ ;_-@_-"/>
    <numFmt numFmtId="177" formatCode="_ * #,##0_ ;_ * \-#,##0_ ;_ * &quot;-&quot;??_ ;_ @_ "/>
    <numFmt numFmtId="178" formatCode="#,##0.000_ "/>
    <numFmt numFmtId="179" formatCode="0.0_ "/>
    <numFmt numFmtId="180" formatCode="0.000_ "/>
    <numFmt numFmtId="181" formatCode="_-&quot;\&quot;* #,##0.00_-\ ;\-&quot;\&quot;* #,##0.00_-\ ;_-&quot;\&quot;* &quot;-&quot;??_-\ ;_-@_-"/>
    <numFmt numFmtId="182" formatCode="#,##0_ "/>
  </numFmts>
  <fonts count="21">
    <font>
      <sz val="11"/>
      <color theme="1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sz val="11"/>
      <color theme="0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5"/>
      <color theme="3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15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8" fillId="27" borderId="16" applyNumberFormat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9" fillId="27" borderId="15" applyNumberFormat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0" fillId="17" borderId="11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Protection="1">
      <alignment vertical="center"/>
      <protection locked="0"/>
    </xf>
    <xf numFmtId="0" fontId="0" fillId="3" borderId="0" xfId="0" applyFill="1">
      <alignment vertical="center"/>
    </xf>
    <xf numFmtId="0" fontId="1" fillId="2" borderId="0" xfId="10" applyFill="1">
      <alignment vertical="center"/>
    </xf>
    <xf numFmtId="0" fontId="2" fillId="4" borderId="1" xfId="0" applyFont="1" applyFill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180" fontId="0" fillId="0" borderId="1" xfId="0" applyNumberFormat="1" applyBorder="1" applyProtection="1">
      <alignment vertical="center"/>
      <protection locked="0"/>
    </xf>
    <xf numFmtId="0" fontId="2" fillId="4" borderId="2" xfId="0" applyFont="1" applyFill="1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179" fontId="0" fillId="0" borderId="1" xfId="0" applyNumberFormat="1" applyBorder="1" applyProtection="1">
      <alignment vertical="center"/>
      <protection locked="0"/>
    </xf>
    <xf numFmtId="0" fontId="2" fillId="5" borderId="1" xfId="0" applyFont="1" applyFill="1" applyBorder="1" applyProtection="1">
      <alignment vertical="center"/>
      <protection locked="0"/>
    </xf>
    <xf numFmtId="178" fontId="0" fillId="0" borderId="1" xfId="0" applyNumberFormat="1" applyBorder="1" applyProtection="1">
      <alignment vertical="center"/>
      <protection locked="0"/>
    </xf>
    <xf numFmtId="182" fontId="0" fillId="0" borderId="1" xfId="0" applyNumberFormat="1" applyBorder="1" applyProtection="1">
      <alignment vertical="center"/>
      <protection locked="0"/>
    </xf>
    <xf numFmtId="0" fontId="1" fillId="2" borderId="0" xfId="10" applyNumberFormat="1" applyFill="1" applyBorder="1" applyAlignment="1">
      <alignment horizontal="right"/>
    </xf>
    <xf numFmtId="0" fontId="1" fillId="2" borderId="0" xfId="10" applyNumberFormat="1" applyFill="1" applyAlignment="1">
      <alignment horizontal="right"/>
    </xf>
    <xf numFmtId="0" fontId="0" fillId="2" borderId="0" xfId="0" applyFill="1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NumberFormat="1" applyAlignment="1" applyProtection="1">
      <alignment horizontal="left" vertical="center"/>
      <protection locked="0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913641352328"/>
          <c:y val="0.0378787878787879"/>
          <c:w val="0.829947872877081"/>
          <c:h val="0.806334776334776"/>
        </c:manualLayout>
      </c:layout>
      <c:scatterChart>
        <c:scatterStyle val="smooth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General" sourceLinked="1"/>
            <c:txPr>
              <a:bodyPr rot="0" spcFirstLastPara="0" vertOverflow="ellipsis" horzOverflow="overflow" vert="horz" wrap="square" anchor="ctr" anchorCtr="1"/>
              <a:lstStyle/>
              <a:p>
                <a:pPr>
                  <a:defRPr b="1">
                    <a:latin typeface="游ゴシック" charset="0"/>
                    <a:ea typeface="游ゴシック" charset="0"/>
                    <a:cs typeface="游ゴシック" charset="0"/>
                    <a:sym typeface="游ゴシック" charset="0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>
                      <a:noFill/>
                    </a:ln>
                    <a:effectLst/>
                  </c:spPr>
                </c15:leaderLines>
              </c:ext>
            </c:extLst>
          </c:dLbls>
          <c:xVal>
            <c:numRef>
              <c:f>電流モード位相補償!$S$7:$S$70</c:f>
              <c:numCache>
                <c:formatCode>General</c:formatCode>
                <c:ptCount val="64"/>
                <c:pt idx="0" c:formatCode="General">
                  <c:v>1</c:v>
                </c:pt>
                <c:pt idx="1" c:formatCode="General">
                  <c:v>2</c:v>
                </c:pt>
                <c:pt idx="2" c:formatCode="General">
                  <c:v>3</c:v>
                </c:pt>
                <c:pt idx="3" c:formatCode="General">
                  <c:v>4</c:v>
                </c:pt>
                <c:pt idx="4" c:formatCode="General">
                  <c:v>5</c:v>
                </c:pt>
                <c:pt idx="5" c:formatCode="General">
                  <c:v>6</c:v>
                </c:pt>
                <c:pt idx="6" c:formatCode="General">
                  <c:v>7</c:v>
                </c:pt>
                <c:pt idx="7" c:formatCode="General">
                  <c:v>8</c:v>
                </c:pt>
                <c:pt idx="8" c:formatCode="General">
                  <c:v>9</c:v>
                </c:pt>
                <c:pt idx="9" c:formatCode="General">
                  <c:v>10</c:v>
                </c:pt>
                <c:pt idx="10" c:formatCode="General">
                  <c:v>20</c:v>
                </c:pt>
                <c:pt idx="11" c:formatCode="General">
                  <c:v>30</c:v>
                </c:pt>
                <c:pt idx="12" c:formatCode="General">
                  <c:v>40</c:v>
                </c:pt>
                <c:pt idx="13" c:formatCode="General">
                  <c:v>50</c:v>
                </c:pt>
                <c:pt idx="14" c:formatCode="General">
                  <c:v>60</c:v>
                </c:pt>
                <c:pt idx="15" c:formatCode="General">
                  <c:v>70</c:v>
                </c:pt>
                <c:pt idx="16" c:formatCode="General">
                  <c:v>80</c:v>
                </c:pt>
                <c:pt idx="17" c:formatCode="General">
                  <c:v>90</c:v>
                </c:pt>
                <c:pt idx="18" c:formatCode="General">
                  <c:v>100</c:v>
                </c:pt>
                <c:pt idx="19" c:formatCode="General">
                  <c:v>200</c:v>
                </c:pt>
                <c:pt idx="20" c:formatCode="General">
                  <c:v>300</c:v>
                </c:pt>
                <c:pt idx="21" c:formatCode="General">
                  <c:v>400</c:v>
                </c:pt>
                <c:pt idx="22" c:formatCode="General">
                  <c:v>500</c:v>
                </c:pt>
                <c:pt idx="23" c:formatCode="General">
                  <c:v>600</c:v>
                </c:pt>
                <c:pt idx="24" c:formatCode="General">
                  <c:v>700</c:v>
                </c:pt>
                <c:pt idx="25" c:formatCode="General">
                  <c:v>800</c:v>
                </c:pt>
                <c:pt idx="26" c:formatCode="General">
                  <c:v>900</c:v>
                </c:pt>
                <c:pt idx="27" c:formatCode="General">
                  <c:v>1000</c:v>
                </c:pt>
                <c:pt idx="28" c:formatCode="General">
                  <c:v>2000</c:v>
                </c:pt>
                <c:pt idx="29" c:formatCode="General">
                  <c:v>3000</c:v>
                </c:pt>
                <c:pt idx="30" c:formatCode="General">
                  <c:v>4000</c:v>
                </c:pt>
                <c:pt idx="31" c:formatCode="General">
                  <c:v>5000</c:v>
                </c:pt>
                <c:pt idx="32" c:formatCode="General">
                  <c:v>6000</c:v>
                </c:pt>
                <c:pt idx="33" c:formatCode="General">
                  <c:v>7000</c:v>
                </c:pt>
                <c:pt idx="34" c:formatCode="General">
                  <c:v>8000</c:v>
                </c:pt>
                <c:pt idx="35" c:formatCode="General">
                  <c:v>9000</c:v>
                </c:pt>
                <c:pt idx="36" c:formatCode="General">
                  <c:v>10000</c:v>
                </c:pt>
                <c:pt idx="37" c:formatCode="General">
                  <c:v>20000</c:v>
                </c:pt>
                <c:pt idx="38" c:formatCode="General">
                  <c:v>30000</c:v>
                </c:pt>
                <c:pt idx="39" c:formatCode="General">
                  <c:v>40000</c:v>
                </c:pt>
                <c:pt idx="40" c:formatCode="General">
                  <c:v>50000</c:v>
                </c:pt>
                <c:pt idx="41" c:formatCode="General">
                  <c:v>60000</c:v>
                </c:pt>
                <c:pt idx="42" c:formatCode="General">
                  <c:v>70000</c:v>
                </c:pt>
                <c:pt idx="43" c:formatCode="General">
                  <c:v>80000</c:v>
                </c:pt>
                <c:pt idx="44" c:formatCode="General">
                  <c:v>90000</c:v>
                </c:pt>
                <c:pt idx="45" c:formatCode="General">
                  <c:v>100000</c:v>
                </c:pt>
                <c:pt idx="46" c:formatCode="General">
                  <c:v>200000</c:v>
                </c:pt>
                <c:pt idx="47" c:formatCode="General">
                  <c:v>300000</c:v>
                </c:pt>
                <c:pt idx="48" c:formatCode="General">
                  <c:v>400000</c:v>
                </c:pt>
                <c:pt idx="49" c:formatCode="General">
                  <c:v>500000</c:v>
                </c:pt>
                <c:pt idx="50" c:formatCode="General">
                  <c:v>600000</c:v>
                </c:pt>
                <c:pt idx="51" c:formatCode="General">
                  <c:v>700000</c:v>
                </c:pt>
                <c:pt idx="52" c:formatCode="General">
                  <c:v>800000</c:v>
                </c:pt>
                <c:pt idx="53" c:formatCode="General">
                  <c:v>900000</c:v>
                </c:pt>
                <c:pt idx="54" c:formatCode="General">
                  <c:v>1000000</c:v>
                </c:pt>
                <c:pt idx="55" c:formatCode="General">
                  <c:v>2000000</c:v>
                </c:pt>
                <c:pt idx="56" c:formatCode="General">
                  <c:v>3000000</c:v>
                </c:pt>
                <c:pt idx="57" c:formatCode="General">
                  <c:v>4000000</c:v>
                </c:pt>
                <c:pt idx="58" c:formatCode="General">
                  <c:v>5000000</c:v>
                </c:pt>
                <c:pt idx="59" c:formatCode="General">
                  <c:v>6000000</c:v>
                </c:pt>
                <c:pt idx="60" c:formatCode="General">
                  <c:v>7000000</c:v>
                </c:pt>
                <c:pt idx="61" c:formatCode="General">
                  <c:v>8000000</c:v>
                </c:pt>
                <c:pt idx="62" c:formatCode="General">
                  <c:v>9000000</c:v>
                </c:pt>
                <c:pt idx="63" c:formatCode="General">
                  <c:v>10000000</c:v>
                </c:pt>
              </c:numCache>
            </c:numRef>
          </c:xVal>
          <c:yVal>
            <c:numRef>
              <c:f>電流モード位相補償!$AI$7:$AI$70</c:f>
              <c:numCache>
                <c:formatCode>General</c:formatCode>
                <c:ptCount val="64"/>
                <c:pt idx="0" c:formatCode="General">
                  <c:v>66.0135970536848</c:v>
                </c:pt>
                <c:pt idx="1" c:formatCode="General">
                  <c:v>65.9926559738789</c:v>
                </c:pt>
                <c:pt idx="2" c:formatCode="General">
                  <c:v>65.9579770171126</c:v>
                </c:pt>
                <c:pt idx="3" c:formatCode="General">
                  <c:v>65.9098870527202</c:v>
                </c:pt>
                <c:pt idx="4" c:formatCode="General">
                  <c:v>65.8488294059842</c:v>
                </c:pt>
                <c:pt idx="5" c:formatCode="General">
                  <c:v>65.7753506729051</c:v>
                </c:pt>
                <c:pt idx="6" c:formatCode="General">
                  <c:v>65.69008521374</c:v>
                </c:pt>
                <c:pt idx="7" c:formatCode="General">
                  <c:v>65.5937381975741</c:v>
                </c:pt>
                <c:pt idx="8" c:formatCode="General">
                  <c:v>65.4870680699879</c:v>
                </c:pt>
                <c:pt idx="9" c:formatCode="General">
                  <c:v>65.37086924703</c:v>
                </c:pt>
                <c:pt idx="10" c:formatCode="General">
                  <c:v>63.857613451803</c:v>
                </c:pt>
                <c:pt idx="11" c:formatCode="General">
                  <c:v>62.1247426848924</c:v>
                </c:pt>
                <c:pt idx="12" c:formatCode="General">
                  <c:v>60.4793974151409</c:v>
                </c:pt>
                <c:pt idx="13" c:formatCode="General">
                  <c:v>59.0012595851267</c:v>
                </c:pt>
                <c:pt idx="14" c:formatCode="General">
                  <c:v>57.6896432138944</c:v>
                </c:pt>
                <c:pt idx="15" c:formatCode="General">
                  <c:v>56.523395409298</c:v>
                </c:pt>
                <c:pt idx="16" c:formatCode="General">
                  <c:v>55.4794740300667</c:v>
                </c:pt>
                <c:pt idx="17" c:formatCode="General">
                  <c:v>54.5377706004075</c:v>
                </c:pt>
                <c:pt idx="18" c:formatCode="General">
                  <c:v>53.6818063862452</c:v>
                </c:pt>
                <c:pt idx="19" c:formatCode="General">
                  <c:v>47.8578156228818</c:v>
                </c:pt>
                <c:pt idx="20" c:formatCode="General">
                  <c:v>44.3765515690275</c:v>
                </c:pt>
                <c:pt idx="21" c:formatCode="General">
                  <c:v>41.8954814880483</c:v>
                </c:pt>
                <c:pt idx="22" c:formatCode="General">
                  <c:v>39.968828472867</c:v>
                </c:pt>
                <c:pt idx="23" c:formatCode="General">
                  <c:v>38.3945344186245</c:v>
                </c:pt>
                <c:pt idx="24" c:formatCode="General">
                  <c:v>37.063906564119</c:v>
                </c:pt>
                <c:pt idx="25" c:formatCode="General">
                  <c:v>35.9117424739539</c:v>
                </c:pt>
                <c:pt idx="26" c:formatCode="General">
                  <c:v>34.8958544041394</c:v>
                </c:pt>
                <c:pt idx="27" c:formatCode="General">
                  <c:v>33.9873847517566</c:v>
                </c:pt>
                <c:pt idx="28" c:formatCode="General">
                  <c:v>28.010087218061</c:v>
                </c:pt>
                <c:pt idx="29" c:formatCode="General">
                  <c:v>24.5059814601127</c:v>
                </c:pt>
                <c:pt idx="30" c:formatCode="General">
                  <c:v>22.0156794383844</c:v>
                </c:pt>
                <c:pt idx="31" c:formatCode="General">
                  <c:v>20.0825150787522</c:v>
                </c:pt>
                <c:pt idx="32" c:formatCode="General">
                  <c:v>18.5025283547918</c:v>
                </c:pt>
                <c:pt idx="33" c:formatCode="General">
                  <c:v>17.1666523567168</c:v>
                </c:pt>
                <c:pt idx="34" c:formatCode="General">
                  <c:v>16.0096677927764</c:v>
                </c:pt>
                <c:pt idx="35" c:formatCode="General">
                  <c:v>14.9894540342873</c:v>
                </c:pt>
                <c:pt idx="36" c:formatCode="General">
                  <c:v>14.0772255800442</c:v>
                </c:pt>
                <c:pt idx="37" c:formatCode="General">
                  <c:v>8.09712435889608</c:v>
                </c:pt>
                <c:pt idx="38" c:formatCode="General">
                  <c:v>4.64092583832266</c:v>
                </c:pt>
                <c:pt idx="39" c:formatCode="General">
                  <c:v>2.23439772008709</c:v>
                </c:pt>
                <c:pt idx="40" c:formatCode="General">
                  <c:v>0.415864519740483</c:v>
                </c:pt>
                <c:pt idx="41" c:formatCode="General">
                  <c:v>-1.01975811632323</c:v>
                </c:pt>
                <c:pt idx="42" c:formatCode="General">
                  <c:v>-2.18123912719788</c:v>
                </c:pt>
                <c:pt idx="43" c:formatCode="General">
                  <c:v>-3.13282187031169</c:v>
                </c:pt>
                <c:pt idx="44" c:formatCode="General">
                  <c:v>-3.91521524061923</c:v>
                </c:pt>
                <c:pt idx="45" c:formatCode="General">
                  <c:v>-4.55544335780644</c:v>
                </c:pt>
                <c:pt idx="46" c:formatCode="General">
                  <c:v>-5.52097266960434</c:v>
                </c:pt>
                <c:pt idx="47" c:formatCode="General">
                  <c:v>-11.5732976363608</c:v>
                </c:pt>
                <c:pt idx="48" c:formatCode="General">
                  <c:v>-22.2404452196108</c:v>
                </c:pt>
                <c:pt idx="49" c:formatCode="General">
                  <c:v>-29.3421320938323</c:v>
                </c:pt>
                <c:pt idx="50" c:formatCode="General">
                  <c:v>-34.6431765788248</c:v>
                </c:pt>
                <c:pt idx="51" c:formatCode="General">
                  <c:v>-38.8825501315179</c:v>
                </c:pt>
                <c:pt idx="52" c:formatCode="General">
                  <c:v>-42.4123662041498</c:v>
                </c:pt>
                <c:pt idx="53" c:formatCode="General">
                  <c:v>-45.4301012265006</c:v>
                </c:pt>
                <c:pt idx="54" c:formatCode="General">
                  <c:v>-48.059149744802</c:v>
                </c:pt>
                <c:pt idx="55" c:formatCode="General">
                  <c:v>-63.8375151006463</c:v>
                </c:pt>
                <c:pt idx="56" c:formatCode="General">
                  <c:v>-72.004728572406</c:v>
                </c:pt>
                <c:pt idx="57" c:formatCode="General">
                  <c:v>-77.4654230614551</c:v>
                </c:pt>
                <c:pt idx="58" c:formatCode="General">
                  <c:v>-81.5722229511691</c:v>
                </c:pt>
                <c:pt idx="59" c:formatCode="General">
                  <c:v>-84.869425800005</c:v>
                </c:pt>
                <c:pt idx="60" c:formatCode="General">
                  <c:v>-87.6273962233392</c:v>
                </c:pt>
                <c:pt idx="61" c:formatCode="General">
                  <c:v>-89.9997899173599</c:v>
                </c:pt>
                <c:pt idx="62" c:formatCode="General">
                  <c:v>-92.0823723349621</c:v>
                </c:pt>
                <c:pt idx="63" c:formatCode="General">
                  <c:v>-93.9389394121633</c:v>
                </c:pt>
              </c:numCache>
            </c:numRef>
          </c:yVal>
          <c:smooth val="1"/>
        </c:ser>
        <c:ser>
          <c:idx val="1"/>
          <c:order val="1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numFmt formatCode="General" sourceLinked="1"/>
            <c:txPr>
              <a:bodyPr rot="0" spcFirstLastPara="0" vertOverflow="ellipsis" horzOverflow="overflow" vert="horz" wrap="square" anchor="ctr" anchorCtr="1"/>
              <a:lstStyle/>
              <a:p>
                <a:pPr>
                  <a:defRPr/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>
                      <a:noFill/>
                    </a:ln>
                    <a:effectLst/>
                  </c:spPr>
                </c15:leaderLines>
              </c:ext>
            </c:extLst>
          </c:dLbls>
          <c:xVal>
            <c:numRef>
              <c:f>電流モード位相補償!$S$7:$S$70</c:f>
              <c:numCache>
                <c:formatCode>General</c:formatCode>
                <c:ptCount val="64"/>
                <c:pt idx="0" c:formatCode="General">
                  <c:v>1</c:v>
                </c:pt>
                <c:pt idx="1" c:formatCode="General">
                  <c:v>2</c:v>
                </c:pt>
                <c:pt idx="2" c:formatCode="General">
                  <c:v>3</c:v>
                </c:pt>
                <c:pt idx="3" c:formatCode="General">
                  <c:v>4</c:v>
                </c:pt>
                <c:pt idx="4" c:formatCode="General">
                  <c:v>5</c:v>
                </c:pt>
                <c:pt idx="5" c:formatCode="General">
                  <c:v>6</c:v>
                </c:pt>
                <c:pt idx="6" c:formatCode="General">
                  <c:v>7</c:v>
                </c:pt>
                <c:pt idx="7" c:formatCode="General">
                  <c:v>8</c:v>
                </c:pt>
                <c:pt idx="8" c:formatCode="General">
                  <c:v>9</c:v>
                </c:pt>
                <c:pt idx="9" c:formatCode="General">
                  <c:v>10</c:v>
                </c:pt>
                <c:pt idx="10" c:formatCode="General">
                  <c:v>20</c:v>
                </c:pt>
                <c:pt idx="11" c:formatCode="General">
                  <c:v>30</c:v>
                </c:pt>
                <c:pt idx="12" c:formatCode="General">
                  <c:v>40</c:v>
                </c:pt>
                <c:pt idx="13" c:formatCode="General">
                  <c:v>50</c:v>
                </c:pt>
                <c:pt idx="14" c:formatCode="General">
                  <c:v>60</c:v>
                </c:pt>
                <c:pt idx="15" c:formatCode="General">
                  <c:v>70</c:v>
                </c:pt>
                <c:pt idx="16" c:formatCode="General">
                  <c:v>80</c:v>
                </c:pt>
                <c:pt idx="17" c:formatCode="General">
                  <c:v>90</c:v>
                </c:pt>
                <c:pt idx="18" c:formatCode="General">
                  <c:v>100</c:v>
                </c:pt>
                <c:pt idx="19" c:formatCode="General">
                  <c:v>200</c:v>
                </c:pt>
                <c:pt idx="20" c:formatCode="General">
                  <c:v>300</c:v>
                </c:pt>
                <c:pt idx="21" c:formatCode="General">
                  <c:v>400</c:v>
                </c:pt>
                <c:pt idx="22" c:formatCode="General">
                  <c:v>500</c:v>
                </c:pt>
                <c:pt idx="23" c:formatCode="General">
                  <c:v>600</c:v>
                </c:pt>
                <c:pt idx="24" c:formatCode="General">
                  <c:v>700</c:v>
                </c:pt>
                <c:pt idx="25" c:formatCode="General">
                  <c:v>800</c:v>
                </c:pt>
                <c:pt idx="26" c:formatCode="General">
                  <c:v>900</c:v>
                </c:pt>
                <c:pt idx="27" c:formatCode="General">
                  <c:v>1000</c:v>
                </c:pt>
                <c:pt idx="28" c:formatCode="General">
                  <c:v>2000</c:v>
                </c:pt>
                <c:pt idx="29" c:formatCode="General">
                  <c:v>3000</c:v>
                </c:pt>
                <c:pt idx="30" c:formatCode="General">
                  <c:v>4000</c:v>
                </c:pt>
                <c:pt idx="31" c:formatCode="General">
                  <c:v>5000</c:v>
                </c:pt>
                <c:pt idx="32" c:formatCode="General">
                  <c:v>6000</c:v>
                </c:pt>
                <c:pt idx="33" c:formatCode="General">
                  <c:v>7000</c:v>
                </c:pt>
                <c:pt idx="34" c:formatCode="General">
                  <c:v>8000</c:v>
                </c:pt>
                <c:pt idx="35" c:formatCode="General">
                  <c:v>9000</c:v>
                </c:pt>
                <c:pt idx="36" c:formatCode="General">
                  <c:v>10000</c:v>
                </c:pt>
                <c:pt idx="37" c:formatCode="General">
                  <c:v>20000</c:v>
                </c:pt>
                <c:pt idx="38" c:formatCode="General">
                  <c:v>30000</c:v>
                </c:pt>
                <c:pt idx="39" c:formatCode="General">
                  <c:v>40000</c:v>
                </c:pt>
                <c:pt idx="40" c:formatCode="General">
                  <c:v>50000</c:v>
                </c:pt>
                <c:pt idx="41" c:formatCode="General">
                  <c:v>60000</c:v>
                </c:pt>
                <c:pt idx="42" c:formatCode="General">
                  <c:v>70000</c:v>
                </c:pt>
                <c:pt idx="43" c:formatCode="General">
                  <c:v>80000</c:v>
                </c:pt>
                <c:pt idx="44" c:formatCode="General">
                  <c:v>90000</c:v>
                </c:pt>
                <c:pt idx="45" c:formatCode="General">
                  <c:v>100000</c:v>
                </c:pt>
                <c:pt idx="46" c:formatCode="General">
                  <c:v>200000</c:v>
                </c:pt>
                <c:pt idx="47" c:formatCode="General">
                  <c:v>300000</c:v>
                </c:pt>
                <c:pt idx="48" c:formatCode="General">
                  <c:v>400000</c:v>
                </c:pt>
                <c:pt idx="49" c:formatCode="General">
                  <c:v>500000</c:v>
                </c:pt>
                <c:pt idx="50" c:formatCode="General">
                  <c:v>600000</c:v>
                </c:pt>
                <c:pt idx="51" c:formatCode="General">
                  <c:v>700000</c:v>
                </c:pt>
                <c:pt idx="52" c:formatCode="General">
                  <c:v>800000</c:v>
                </c:pt>
                <c:pt idx="53" c:formatCode="General">
                  <c:v>900000</c:v>
                </c:pt>
                <c:pt idx="54" c:formatCode="General">
                  <c:v>1000000</c:v>
                </c:pt>
                <c:pt idx="55" c:formatCode="General">
                  <c:v>2000000</c:v>
                </c:pt>
                <c:pt idx="56" c:formatCode="General">
                  <c:v>3000000</c:v>
                </c:pt>
                <c:pt idx="57" c:formatCode="General">
                  <c:v>4000000</c:v>
                </c:pt>
                <c:pt idx="58" c:formatCode="General">
                  <c:v>5000000</c:v>
                </c:pt>
                <c:pt idx="59" c:formatCode="General">
                  <c:v>6000000</c:v>
                </c:pt>
                <c:pt idx="60" c:formatCode="General">
                  <c:v>7000000</c:v>
                </c:pt>
                <c:pt idx="61" c:formatCode="General">
                  <c:v>8000000</c:v>
                </c:pt>
                <c:pt idx="62" c:formatCode="General">
                  <c:v>9000000</c:v>
                </c:pt>
                <c:pt idx="63" c:formatCode="General">
                  <c:v>10000000</c:v>
                </c:pt>
              </c:numCache>
            </c:numRef>
          </c:xVal>
          <c:yVal>
            <c:numRef>
              <c:f>電流モード位相補償!$AP$7:$AP$70</c:f>
              <c:numCache>
                <c:formatCode>General</c:formatCode>
                <c:ptCount val="64"/>
                <c:pt idx="0" c:formatCode="General">
                  <c:v>177.699663986665</c:v>
                </c:pt>
                <c:pt idx="1" c:formatCode="General">
                  <c:v>175.406721032445</c:v>
                </c:pt>
                <c:pt idx="2" c:formatCode="General">
                  <c:v>173.128422624853</c:v>
                </c:pt>
                <c:pt idx="3" c:formatCode="General">
                  <c:v>170.871743817917</c:v>
                </c:pt>
                <c:pt idx="4" c:formatCode="General">
                  <c:v>168.643261203847</c:v>
                </c:pt>
                <c:pt idx="5" c:formatCode="General">
                  <c:v>166.449048751184</c:v>
                </c:pt>
                <c:pt idx="6" c:formatCode="General">
                  <c:v>164.294595092256</c:v>
                </c:pt>
                <c:pt idx="7" c:formatCode="General">
                  <c:v>162.184744216176</c:v>
                </c:pt>
                <c:pt idx="8" c:formatCode="General">
                  <c:v>160.123659907719</c:v>
                </c:pt>
                <c:pt idx="9" c:formatCode="General">
                  <c:v>158.114812829487</c:v>
                </c:pt>
                <c:pt idx="10" c:formatCode="General">
                  <c:v>141.222454430426</c:v>
                </c:pt>
                <c:pt idx="11" c:formatCode="General">
                  <c:v>129.688056933706</c:v>
                </c:pt>
                <c:pt idx="12" c:formatCode="General">
                  <c:v>121.899434420447</c:v>
                </c:pt>
                <c:pt idx="13" c:formatCode="General">
                  <c:v>116.472362205845</c:v>
                </c:pt>
                <c:pt idx="14" c:formatCode="General">
                  <c:v>112.539308135386</c:v>
                </c:pt>
                <c:pt idx="15" c:formatCode="General">
                  <c:v>109.583734461307</c:v>
                </c:pt>
                <c:pt idx="16" c:formatCode="General">
                  <c:v>107.292847695613</c:v>
                </c:pt>
                <c:pt idx="17" c:formatCode="General">
                  <c:v>105.470541714054</c:v>
                </c:pt>
                <c:pt idx="18" c:formatCode="General">
                  <c:v>103.989219903709</c:v>
                </c:pt>
                <c:pt idx="19" c:formatCode="General">
                  <c:v>97.1138665881282</c:v>
                </c:pt>
                <c:pt idx="20" c:formatCode="General">
                  <c:v>94.7662757602457</c:v>
                </c:pt>
                <c:pt idx="21" c:formatCode="General">
                  <c:v>93.5818580018917</c:v>
                </c:pt>
                <c:pt idx="22" c:formatCode="General">
                  <c:v>92.8618040839905</c:v>
                </c:pt>
                <c:pt idx="23" c:formatCode="General">
                  <c:v>92.3707931911019</c:v>
                </c:pt>
                <c:pt idx="24" c:formatCode="General">
                  <c:v>92.0078175251312</c:v>
                </c:pt>
                <c:pt idx="25" c:formatCode="General">
                  <c:v>91.7226807381006</c:v>
                </c:pt>
                <c:pt idx="26" c:formatCode="General">
                  <c:v>91.4878992910401</c:v>
                </c:pt>
                <c:pt idx="27" c:formatCode="General">
                  <c:v>91.2873598470016</c:v>
                </c:pt>
                <c:pt idx="28" c:formatCode="General">
                  <c:v>90.0088094372879</c:v>
                </c:pt>
                <c:pt idx="29" c:formatCode="General">
                  <c:v>89.1575490203886</c:v>
                </c:pt>
                <c:pt idx="30" c:formatCode="General">
                  <c:v>88.4444093189457</c:v>
                </c:pt>
                <c:pt idx="31" c:formatCode="General">
                  <c:v>87.7960824297292</c:v>
                </c:pt>
                <c:pt idx="32" c:formatCode="General">
                  <c:v>87.1831132533396</c:v>
                </c:pt>
                <c:pt idx="33" c:formatCode="General">
                  <c:v>86.5914925831492</c:v>
                </c:pt>
                <c:pt idx="34" c:formatCode="General">
                  <c:v>86.0137888293184</c:v>
                </c:pt>
                <c:pt idx="35" c:formatCode="General">
                  <c:v>85.4457304468885</c:v>
                </c:pt>
                <c:pt idx="36" c:formatCode="General">
                  <c:v>84.8847074463255</c:v>
                </c:pt>
                <c:pt idx="37" c:formatCode="General">
                  <c:v>79.461879951837</c:v>
                </c:pt>
                <c:pt idx="38" c:formatCode="General">
                  <c:v>74.2324543058253</c:v>
                </c:pt>
                <c:pt idx="39" c:formatCode="General">
                  <c:v>69.1825834081004</c:v>
                </c:pt>
                <c:pt idx="40" c:formatCode="General">
                  <c:v>64.3365964618379</c:v>
                </c:pt>
                <c:pt idx="41" c:formatCode="General">
                  <c:v>59.7161941382486</c:v>
                </c:pt>
                <c:pt idx="42" c:formatCode="General">
                  <c:v>55.3350812003018</c:v>
                </c:pt>
                <c:pt idx="43" c:formatCode="General">
                  <c:v>51.1988074675162</c:v>
                </c:pt>
                <c:pt idx="44" c:formatCode="General">
                  <c:v>47.3060254133473</c:v>
                </c:pt>
                <c:pt idx="45" c:formatCode="General">
                  <c:v>43.6501334540403</c:v>
                </c:pt>
                <c:pt idx="46" c:formatCode="General">
                  <c:v>17.3787303482835</c:v>
                </c:pt>
                <c:pt idx="47" c:formatCode="General">
                  <c:v>2.33905845127794</c:v>
                </c:pt>
                <c:pt idx="48" c:formatCode="General">
                  <c:v>-7.19183075897874</c:v>
                </c:pt>
                <c:pt idx="49" c:formatCode="General">
                  <c:v>-13.5182416443284</c:v>
                </c:pt>
                <c:pt idx="50" c:formatCode="General">
                  <c:v>-17.7660422589848</c:v>
                </c:pt>
                <c:pt idx="51" c:formatCode="General">
                  <c:v>-20.5931398500006</c:v>
                </c:pt>
                <c:pt idx="52" c:formatCode="General">
                  <c:v>-22.4242722858818</c:v>
                </c:pt>
                <c:pt idx="53" c:formatCode="General">
                  <c:v>-23.547918681362</c:v>
                </c:pt>
                <c:pt idx="54" c:formatCode="General">
                  <c:v>-24.1655646351106</c:v>
                </c:pt>
                <c:pt idx="55" c:formatCode="General">
                  <c:v>-20.8980793086401</c:v>
                </c:pt>
                <c:pt idx="56" c:formatCode="General">
                  <c:v>-16.0976009387201</c:v>
                </c:pt>
                <c:pt idx="57" c:formatCode="General">
                  <c:v>-12.7814419631135</c:v>
                </c:pt>
                <c:pt idx="58" c:formatCode="General">
                  <c:v>-10.5136057887185</c:v>
                </c:pt>
                <c:pt idx="59" c:formatCode="General">
                  <c:v>-8.89851013200857</c:v>
                </c:pt>
                <c:pt idx="60" c:formatCode="General">
                  <c:v>-7.70025136551965</c:v>
                </c:pt>
                <c:pt idx="61" c:formatCode="General">
                  <c:v>-6.77991011408974</c:v>
                </c:pt>
                <c:pt idx="62" c:formatCode="General">
                  <c:v>-6.05261273108437</c:v>
                </c:pt>
                <c:pt idx="63" c:formatCode="General">
                  <c:v>-5.46424988693559</c:v>
                </c:pt>
              </c:numCache>
            </c:numRef>
          </c:yVal>
          <c:smooth val="1"/>
        </c:ser>
        <c:dLbls>
          <c:dLblPos val="r"/>
          <c:showLegendKey val="0"/>
          <c:showVal val="0"/>
          <c:showCatName val="0"/>
          <c:showSerName val="0"/>
          <c:showPercent val="0"/>
          <c:showBubbleSize val="0"/>
        </c:dLbls>
        <c:axId val="464619672"/>
        <c:axId val="464625576"/>
      </c:scatterChart>
      <c:valAx>
        <c:axId val="464619672"/>
        <c:scaling>
          <c:logBase val="10"/>
          <c:orientation val="minMax"/>
          <c:min val="1"/>
        </c:scaling>
        <c:delete val="0"/>
        <c:axPos val="b"/>
        <c:majorGridlines>
          <c:spPr>
            <a:noFill/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noFill/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游ゴシック" charset="0"/>
                    <a:ea typeface="游ゴシック" charset="0"/>
                    <a:cs typeface="游ゴシック" charset="0"/>
                    <a:sym typeface="游ゴシック" charset="0"/>
                  </a:defRPr>
                </a:pPr>
                <a:r>
                  <a:rPr altLang="en-US" b="1">
                    <a:latin typeface="游ゴシック" charset="0"/>
                    <a:ea typeface="游ゴシック" charset="0"/>
                    <a:cs typeface="游ゴシック" charset="0"/>
                    <a:sym typeface="游ゴシック" charset="0"/>
                  </a:rPr>
                  <a:t>周波数 </a:t>
                </a:r>
                <a:r>
                  <a:rPr lang="en-US" altLang="ja-JP" b="1">
                    <a:latin typeface="游ゴシック" charset="0"/>
                    <a:ea typeface="游ゴシック" charset="0"/>
                    <a:cs typeface="游ゴシック" charset="0"/>
                    <a:sym typeface="游ゴシック" charset="0"/>
                  </a:rPr>
                  <a:t>(Hz)</a:t>
                </a:r>
                <a:endParaRPr lang="en-US" altLang="ja-JP" b="1">
                  <a:latin typeface="游ゴシック" charset="0"/>
                  <a:ea typeface="游ゴシック" charset="0"/>
                  <a:cs typeface="游ゴシック" charset="0"/>
                  <a:sym typeface="游ゴシック" charset="0"/>
                </a:endParaRPr>
              </a:p>
            </c:rich>
          </c:tx>
          <c:layout>
            <c:manualLayout>
              <c:xMode val="edge"/>
              <c:yMode val="edge"/>
              <c:x val="0.472425398471778"/>
              <c:y val="0.93626364886207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E+00" sourceLinked="0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charset="0"/>
                <a:ea typeface="游ゴシック" charset="0"/>
                <a:cs typeface="游ゴシック" charset="0"/>
                <a:sym typeface="游ゴシック" charset="0"/>
              </a:defRPr>
            </a:pPr>
          </a:p>
        </c:txPr>
        <c:crossAx val="464625576"/>
        <c:crossesAt val="-1000"/>
        <c:crossBetween val="midCat"/>
      </c:valAx>
      <c:valAx>
        <c:axId val="464625576"/>
        <c:scaling>
          <c:orientation val="minMax"/>
        </c:scaling>
        <c:delete val="0"/>
        <c:axPos val="l"/>
        <c:majorGridlines>
          <c:spPr>
            <a:noFill/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游ゴシック" charset="0"/>
                    <a:ea typeface="游ゴシック" charset="0"/>
                    <a:cs typeface="游ゴシック" charset="0"/>
                    <a:sym typeface="游ゴシック" charset="0"/>
                  </a:defRPr>
                </a:pPr>
                <a:r>
                  <a:rPr altLang="en-US" b="1">
                    <a:latin typeface="游ゴシック" charset="0"/>
                    <a:ea typeface="游ゴシック" charset="0"/>
                    <a:cs typeface="游ゴシック" charset="0"/>
                    <a:sym typeface="游ゴシック" charset="0"/>
                  </a:rPr>
                  <a:t>ゲイン</a:t>
                </a:r>
                <a:r>
                  <a:rPr lang="en-US" altLang="ja-JP" b="1">
                    <a:latin typeface="游ゴシック" charset="0"/>
                    <a:ea typeface="游ゴシック" charset="0"/>
                    <a:cs typeface="游ゴシック" charset="0"/>
                    <a:sym typeface="游ゴシック" charset="0"/>
                  </a:rPr>
                  <a:t>(dB) / </a:t>
                </a:r>
                <a:r>
                  <a:rPr altLang="en-US" b="1">
                    <a:latin typeface="游ゴシック" charset="0"/>
                    <a:ea typeface="游ゴシック" charset="0"/>
                    <a:cs typeface="游ゴシック" charset="0"/>
                    <a:sym typeface="游ゴシック" charset="0"/>
                  </a:rPr>
                  <a:t>位相</a:t>
                </a:r>
                <a:r>
                  <a:rPr lang="en-US" altLang="ja-JP" b="1">
                    <a:latin typeface="游ゴシック" charset="0"/>
                    <a:ea typeface="游ゴシック" charset="0"/>
                    <a:cs typeface="游ゴシック" charset="0"/>
                    <a:sym typeface="游ゴシック" charset="0"/>
                  </a:rPr>
                  <a:t>(deg)</a:t>
                </a:r>
                <a:endParaRPr lang="en-US" altLang="ja-JP" b="1">
                  <a:latin typeface="游ゴシック" charset="0"/>
                  <a:ea typeface="游ゴシック" charset="0"/>
                  <a:cs typeface="游ゴシック" charset="0"/>
                  <a:sym typeface="游ゴシック" charset="0"/>
                </a:endParaRPr>
              </a:p>
            </c:rich>
          </c:tx>
          <c:layout>
            <c:manualLayout>
              <c:xMode val="edge"/>
              <c:yMode val="edge"/>
              <c:x val="0.00591440321258827"/>
              <c:y val="0.20778749622875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horzOverflow="overflow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游ゴシック" charset="0"/>
                <a:ea typeface="游ゴシック" charset="0"/>
                <a:cs typeface="游ゴシック" charset="0"/>
                <a:sym typeface="游ゴシック" charset="0"/>
              </a:defRPr>
            </a:pPr>
          </a:p>
        </c:txPr>
        <c:crossAx val="464619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ja-JP" sz="1400" b="1">
          <a:latin typeface="游ゴシック" charset="0"/>
          <a:ea typeface="游ゴシック" charset="0"/>
          <a:cs typeface="游ゴシック" charset="0"/>
          <a:sym typeface="游ゴシック" charset="0"/>
        </a:defRPr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28</xdr:row>
      <xdr:rowOff>0</xdr:rowOff>
    </xdr:from>
    <xdr:to>
      <xdr:col>9</xdr:col>
      <xdr:colOff>427990</xdr:colOff>
      <xdr:row>54</xdr:row>
      <xdr:rowOff>143510</xdr:rowOff>
    </xdr:to>
    <xdr:graphicFrame>
      <xdr:nvGraphicFramePr>
        <xdr:cNvPr id="2" name="グラフ 1"/>
        <xdr:cNvGraphicFramePr/>
      </xdr:nvGraphicFramePr>
      <xdr:xfrm>
        <a:off x="228600" y="5200650"/>
        <a:ext cx="8047990" cy="460121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29</xdr:row>
      <xdr:rowOff>38100</xdr:rowOff>
    </xdr:from>
    <xdr:ext cx="795655" cy="368935"/>
    <xdr:sp>
      <xdr:nvSpPr>
        <xdr:cNvPr id="4" name="テキストボックス 3"/>
        <xdr:cNvSpPr txBox="1"/>
      </xdr:nvSpPr>
      <xdr:spPr>
        <a:xfrm>
          <a:off x="1676400" y="5410200"/>
          <a:ext cx="795655" cy="368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ja-JP" sz="1600" b="1">
              <a:solidFill>
                <a:schemeClr val="accent2"/>
              </a:solidFill>
              <a:latin typeface="游ゴシック" charset="0"/>
              <a:ea typeface="游ゴシック" charset="0"/>
            </a:rPr>
            <a:t>Phase</a:t>
          </a:r>
          <a:endParaRPr lang="en-US" altLang="ja-JP" sz="1600" b="1">
            <a:solidFill>
              <a:schemeClr val="accent2"/>
            </a:solidFill>
            <a:latin typeface="游ゴシック" charset="0"/>
            <a:ea typeface="游ゴシック" charset="0"/>
          </a:endParaRPr>
        </a:p>
      </xdr:txBody>
    </xdr:sp>
    <xdr:clientData/>
  </xdr:oneCellAnchor>
  <xdr:oneCellAnchor>
    <xdr:from>
      <xdr:col>2</xdr:col>
      <xdr:colOff>276225</xdr:colOff>
      <xdr:row>35</xdr:row>
      <xdr:rowOff>0</xdr:rowOff>
    </xdr:from>
    <xdr:ext cx="640715" cy="368935"/>
    <xdr:sp>
      <xdr:nvSpPr>
        <xdr:cNvPr id="5" name="テキストボックス 4"/>
        <xdr:cNvSpPr txBox="1"/>
      </xdr:nvSpPr>
      <xdr:spPr>
        <a:xfrm>
          <a:off x="1190625" y="6400800"/>
          <a:ext cx="640715" cy="368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ja-JP" sz="1600" b="1">
              <a:solidFill>
                <a:schemeClr val="accent1"/>
              </a:solidFill>
              <a:latin typeface="游ゴシック" charset="0"/>
              <a:ea typeface="游ゴシック" charset="0"/>
            </a:rPr>
            <a:t>Gain</a:t>
          </a:r>
          <a:endParaRPr lang="en-US" altLang="ja-JP" sz="1600" b="1">
            <a:solidFill>
              <a:schemeClr val="accent1"/>
            </a:solidFill>
            <a:latin typeface="游ゴシック" charset="0"/>
            <a:ea typeface="游ゴシック" charset="0"/>
          </a:endParaRP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6464935" cy="462915"/>
    <xdr:sp>
      <xdr:nvSpPr>
        <xdr:cNvPr id="6" name="テキストボックス 5"/>
        <xdr:cNvSpPr txBox="1"/>
      </xdr:nvSpPr>
      <xdr:spPr>
        <a:xfrm>
          <a:off x="228600" y="10001250"/>
          <a:ext cx="6464935" cy="462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p>
          <a:pPr algn="l"/>
          <a:r>
            <a:rPr lang="en-US" altLang="ja-JP" sz="1100">
              <a:latin typeface="游ゴシック" charset="0"/>
              <a:ea typeface="游ゴシック" charset="0"/>
            </a:rPr>
            <a:t>※</a:t>
          </a:r>
          <a:r>
            <a:rPr lang="ja-JP" altLang="en-US" sz="1100">
              <a:latin typeface="游ゴシック" charset="0"/>
              <a:ea typeface="游ゴシック" charset="0"/>
            </a:rPr>
            <a:t>スイッチング周波数の</a:t>
          </a:r>
          <a:r>
            <a:rPr lang="en-US" altLang="ja-JP" sz="1100">
              <a:latin typeface="游ゴシック" charset="0"/>
              <a:ea typeface="游ゴシック" charset="0"/>
            </a:rPr>
            <a:t>1/2</a:t>
          </a:r>
          <a:r>
            <a:rPr lang="ja-JP" altLang="en-US" sz="1100">
              <a:latin typeface="游ゴシック" charset="0"/>
              <a:ea typeface="游ゴシック" charset="0"/>
            </a:rPr>
            <a:t>に発生する</a:t>
          </a:r>
          <a:r>
            <a:rPr lang="en-US" altLang="ja-JP" sz="1100">
              <a:latin typeface="游ゴシック" charset="0"/>
              <a:ea typeface="游ゴシック" charset="0"/>
            </a:rPr>
            <a:t>2</a:t>
          </a:r>
          <a:r>
            <a:rPr lang="ja-JP" altLang="en-US" sz="1100">
              <a:latin typeface="游ゴシック" charset="0"/>
              <a:ea typeface="游ゴシック" charset="0"/>
            </a:rPr>
            <a:t>次遅れ系については、</a:t>
          </a:r>
          <a:r>
            <a:rPr lang="en-US" altLang="ja-JP" sz="1100">
              <a:latin typeface="游ゴシック" charset="0"/>
              <a:ea typeface="游ゴシック" charset="0"/>
            </a:rPr>
            <a:t>Q=0.4</a:t>
          </a:r>
          <a:r>
            <a:rPr lang="ja-JP" altLang="en-US" sz="1100">
              <a:latin typeface="游ゴシック" charset="0"/>
              <a:ea typeface="游ゴシック" charset="0"/>
            </a:rPr>
            <a:t>として簡易的に加えています。</a:t>
          </a:r>
          <a:endParaRPr lang="ja-JP" altLang="en-US" sz="1100">
            <a:latin typeface="游ゴシック" charset="0"/>
            <a:ea typeface="游ゴシック" charset="0"/>
          </a:endParaRPr>
        </a:p>
        <a:p>
          <a:pPr algn="l"/>
          <a:r>
            <a:rPr lang="en-US" altLang="ja-JP" sz="1100">
              <a:latin typeface="游ゴシック" charset="0"/>
              <a:ea typeface="游ゴシック" charset="0"/>
            </a:rPr>
            <a:t>※</a:t>
          </a:r>
          <a:r>
            <a:rPr lang="ja-JP" altLang="en-US" sz="1100">
              <a:latin typeface="游ゴシック" charset="0"/>
              <a:ea typeface="游ゴシック" charset="0"/>
            </a:rPr>
            <a:t>実際の</a:t>
          </a:r>
          <a:r>
            <a:rPr lang="en-US" altLang="ja-JP" sz="1100">
              <a:latin typeface="游ゴシック" charset="0"/>
              <a:ea typeface="游ゴシック" charset="0"/>
            </a:rPr>
            <a:t>Q</a:t>
          </a:r>
          <a:r>
            <a:rPr lang="ja-JP" altLang="en-US" sz="1100">
              <a:latin typeface="游ゴシック" charset="0"/>
              <a:ea typeface="游ゴシック" charset="0"/>
            </a:rPr>
            <a:t>値は</a:t>
          </a:r>
          <a:r>
            <a:rPr lang="en-US" altLang="ja-JP" sz="1100">
              <a:latin typeface="游ゴシック" charset="0"/>
              <a:ea typeface="游ゴシック" charset="0"/>
            </a:rPr>
            <a:t>DUTY</a:t>
          </a:r>
          <a:r>
            <a:rPr lang="ja-JP" altLang="en-US" sz="1100">
              <a:latin typeface="游ゴシック" charset="0"/>
              <a:ea typeface="游ゴシック" charset="0"/>
            </a:rPr>
            <a:t>や内部スロープ補償の値によって変化します。</a:t>
          </a:r>
          <a:endParaRPr lang="en-US" altLang="ja-JP" sz="1100">
            <a:latin typeface="游ゴシック" charset="0"/>
            <a:ea typeface="游ゴシック" charset="0"/>
          </a:endParaRPr>
        </a:p>
      </xdr:txBody>
    </xdr:sp>
    <xdr:clientData/>
  </xdr:oneCellAnchor>
  <xdr:twoCellAnchor editAs="oneCell">
    <xdr:from>
      <xdr:col>5</xdr:col>
      <xdr:colOff>219075</xdr:colOff>
      <xdr:row>2</xdr:row>
      <xdr:rowOff>171450</xdr:rowOff>
    </xdr:from>
    <xdr:to>
      <xdr:col>14</xdr:col>
      <xdr:colOff>676910</xdr:colOff>
      <xdr:row>27</xdr:row>
      <xdr:rowOff>60960</xdr:rowOff>
    </xdr:to>
    <xdr:pic>
      <xdr:nvPicPr>
        <xdr:cNvPr id="3" name="図形 2" descr="IMG_007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914400"/>
          <a:ext cx="6163310" cy="41757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671830</xdr:colOff>
      <xdr:row>1</xdr:row>
      <xdr:rowOff>567055</xdr:rowOff>
    </xdr:to>
    <xdr:pic>
      <xdr:nvPicPr>
        <xdr:cNvPr id="8" name="図形 7" descr="logo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71450"/>
          <a:ext cx="2119630" cy="567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nalogista.jp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P71"/>
  <sheetViews>
    <sheetView tabSelected="1" workbookViewId="0">
      <selection activeCell="A1" sqref="A1"/>
    </sheetView>
  </sheetViews>
  <sheetFormatPr defaultColWidth="9" defaultRowHeight="13.5"/>
  <cols>
    <col min="1" max="1" width="3" customWidth="1"/>
    <col min="3" max="3" width="10" customWidth="1"/>
    <col min="5" max="5" width="42.125" customWidth="1"/>
    <col min="6" max="6" width="2.875" customWidth="1"/>
    <col min="16" max="16" width="2.625" style="1" customWidth="1"/>
    <col min="17" max="17" width="2.125" style="3" customWidth="1"/>
    <col min="18" max="18" width="10.75" customWidth="1"/>
    <col min="19" max="19" width="9.375"/>
    <col min="20" max="20" width="12.625"/>
    <col min="21" max="21" width="13.75"/>
    <col min="22" max="22" width="12.625"/>
    <col min="23" max="23" width="13.75"/>
    <col min="24" max="25" width="12.625"/>
    <col min="26" max="28" width="13.75"/>
    <col min="29" max="30" width="12.625"/>
    <col min="31" max="31" width="13.75"/>
    <col min="32" max="34" width="12.625"/>
    <col min="35" max="35" width="13.75"/>
    <col min="37" max="42" width="13.75"/>
    <col min="43" max="43" width="12.625"/>
  </cols>
  <sheetData>
    <row r="1" s="1" customFormat="1" spans="17:17">
      <c r="Q1" s="3"/>
    </row>
    <row r="2" s="1" customFormat="1" ht="45" customHeight="1" spans="5:17">
      <c r="E2" s="4"/>
      <c r="L2" s="14" t="s">
        <v>0</v>
      </c>
      <c r="M2" s="15"/>
      <c r="N2" s="14"/>
      <c r="Q2" s="3"/>
    </row>
    <row r="3" spans="1:3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AD3" s="27" t="s">
        <v>1</v>
      </c>
      <c r="AE3" s="28">
        <v>0.4</v>
      </c>
      <c r="AF3" s="27"/>
      <c r="AG3" s="27"/>
    </row>
    <row r="4" s="2" customFormat="1" spans="2:40">
      <c r="B4" s="5" t="s">
        <v>2</v>
      </c>
      <c r="C4" s="6">
        <v>12</v>
      </c>
      <c r="D4" s="6" t="s">
        <v>3</v>
      </c>
      <c r="E4" s="6" t="s">
        <v>4</v>
      </c>
      <c r="P4" s="16"/>
      <c r="Q4" s="17"/>
      <c r="S4" s="18" t="s">
        <v>5</v>
      </c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M4" s="2">
        <f>-$C$9*500/(2*$AE$3)+$C$9*500*(1/(4*$AE$3^2)-1)^0.5</f>
        <v>-125000</v>
      </c>
      <c r="AN4" s="2">
        <f>-$C$9*500/(2*$AE$3)-$C$9*500*(1/(4*$AE$3^2)-1)^0.5</f>
        <v>-500000</v>
      </c>
    </row>
    <row r="5" s="2" customFormat="1" spans="2:42">
      <c r="B5" s="5" t="s">
        <v>6</v>
      </c>
      <c r="C5" s="6">
        <v>5</v>
      </c>
      <c r="D5" s="6" t="s">
        <v>3</v>
      </c>
      <c r="E5" s="6" t="s">
        <v>7</v>
      </c>
      <c r="P5" s="16"/>
      <c r="Q5" s="17"/>
      <c r="S5" s="19" t="s">
        <v>8</v>
      </c>
      <c r="T5" s="20" t="s">
        <v>9</v>
      </c>
      <c r="U5" s="21"/>
      <c r="V5" s="21"/>
      <c r="W5" s="21"/>
      <c r="X5" s="22"/>
      <c r="Y5" s="21" t="s">
        <v>10</v>
      </c>
      <c r="Z5" s="21"/>
      <c r="AA5" s="21"/>
      <c r="AB5" s="21"/>
      <c r="AC5" s="22"/>
      <c r="AD5" s="21" t="s">
        <v>11</v>
      </c>
      <c r="AE5" s="21"/>
      <c r="AF5" s="21"/>
      <c r="AG5" s="21"/>
      <c r="AH5" s="19" t="s">
        <v>12</v>
      </c>
      <c r="AI5" s="19" t="s">
        <v>13</v>
      </c>
      <c r="AK5" s="20" t="s">
        <v>14</v>
      </c>
      <c r="AL5" s="21"/>
      <c r="AM5" s="21"/>
      <c r="AN5" s="21"/>
      <c r="AO5" s="22"/>
      <c r="AP5" s="18" t="s">
        <v>15</v>
      </c>
    </row>
    <row r="6" s="2" customFormat="1" spans="2:42">
      <c r="B6" s="5" t="s">
        <v>16</v>
      </c>
      <c r="C6" s="6">
        <v>0.8</v>
      </c>
      <c r="D6" s="6" t="s">
        <v>3</v>
      </c>
      <c r="E6" s="6" t="s">
        <v>17</v>
      </c>
      <c r="P6" s="16"/>
      <c r="Q6" s="17"/>
      <c r="S6" s="23"/>
      <c r="T6" s="24" t="s">
        <v>18</v>
      </c>
      <c r="U6" s="23" t="s">
        <v>19</v>
      </c>
      <c r="V6" s="23" t="s">
        <v>20</v>
      </c>
      <c r="W6" s="23" t="s">
        <v>21</v>
      </c>
      <c r="X6" s="23" t="s">
        <v>15</v>
      </c>
      <c r="Y6" s="24" t="s">
        <v>18</v>
      </c>
      <c r="Z6" s="23" t="s">
        <v>19</v>
      </c>
      <c r="AA6" s="23" t="s">
        <v>20</v>
      </c>
      <c r="AB6" s="23" t="s">
        <v>21</v>
      </c>
      <c r="AC6" s="23" t="s">
        <v>15</v>
      </c>
      <c r="AD6" s="24" t="s">
        <v>18</v>
      </c>
      <c r="AE6" s="23" t="s">
        <v>20</v>
      </c>
      <c r="AF6" s="23" t="s">
        <v>21</v>
      </c>
      <c r="AG6" s="23" t="s">
        <v>15</v>
      </c>
      <c r="AH6" s="23"/>
      <c r="AI6" s="23"/>
      <c r="AK6" s="18" t="s">
        <v>9</v>
      </c>
      <c r="AL6" s="20" t="s">
        <v>10</v>
      </c>
      <c r="AM6" s="20" t="s">
        <v>22</v>
      </c>
      <c r="AN6" s="20" t="s">
        <v>23</v>
      </c>
      <c r="AO6" s="18" t="s">
        <v>24</v>
      </c>
      <c r="AP6" s="5"/>
    </row>
    <row r="7" s="2" customFormat="1" spans="2:42">
      <c r="B7" s="5" t="s">
        <v>25</v>
      </c>
      <c r="C7" s="6">
        <v>2</v>
      </c>
      <c r="D7" s="6" t="s">
        <v>26</v>
      </c>
      <c r="E7" s="6" t="s">
        <v>27</v>
      </c>
      <c r="P7" s="16"/>
      <c r="Q7" s="17"/>
      <c r="S7" s="25">
        <v>1</v>
      </c>
      <c r="T7" s="25">
        <f>$C$12*$C$17*1000000000</f>
        <v>35999999999.9999</v>
      </c>
      <c r="U7" s="25">
        <f>-$C$12*1000000000000/($C$16*2*PI()*S7)</f>
        <v>-45150338465785.8</v>
      </c>
      <c r="V7" s="25">
        <f>$C$12*1000000+$C$17*1000</f>
        <v>1360333.33333333</v>
      </c>
      <c r="W7" s="25">
        <f>-1000000/($C$16*2*PI()*S7)</f>
        <v>-33862753.8493394</v>
      </c>
      <c r="X7" s="26">
        <f>((T7^2+U7^2)^0.5/(V7^2+W7^2)^0.5)*$C$11/1000000</f>
        <v>999.194399568635</v>
      </c>
      <c r="Y7" s="26">
        <f>$C$8*$C$15/1000</f>
        <v>0.005</v>
      </c>
      <c r="Z7" s="26">
        <f>-$C$8*1000000/($C$14*2*PI()*S7)</f>
        <v>-7957.74715459477</v>
      </c>
      <c r="AA7" s="26">
        <f>$C$8+$C$15/1000</f>
        <v>2.502</v>
      </c>
      <c r="AB7" s="26">
        <f>-1000000/($C$14*2*PI()*S7)</f>
        <v>-3183.09886183791</v>
      </c>
      <c r="AC7" s="26">
        <f>((Y7^2+Z7^2)^0.5/(AA7^2+AB7^2)^0.5)*$C$13</f>
        <v>12.4999961385191</v>
      </c>
      <c r="AD7" s="26">
        <f>(2*PI()*$C$9*500)^2</f>
        <v>2467401100272.34</v>
      </c>
      <c r="AE7" s="26">
        <f>(2*PI()*$C$9*500)^2-(2*PI()*S7)^2</f>
        <v>2467401100232.86</v>
      </c>
      <c r="AF7" s="26">
        <f>2*PI()*$C$9*500*S7/$AE$3</f>
        <v>3926990.81698724</v>
      </c>
      <c r="AG7" s="26">
        <f>AD7/(AE7^2+AF7^2)^0.5</f>
        <v>1.00000000001473</v>
      </c>
      <c r="AH7" s="6">
        <f>X7*AC7*AG7*$C$6/$C$5</f>
        <v>1998.38818182749</v>
      </c>
      <c r="AI7" s="6">
        <f>20*LOG10(AH7)</f>
        <v>66.0135970536848</v>
      </c>
      <c r="AK7" s="6">
        <f>(ATAN(U7/T7)-ATAN(W7/V7))*180/PI()</f>
        <v>-2.25476306481501</v>
      </c>
      <c r="AL7" s="6">
        <f>(ATAN(Z7/Y7)-ATAN(AB7/AA7))*180/PI()</f>
        <v>-0.0449999907250163</v>
      </c>
      <c r="AM7" s="6">
        <f>ATAN(S7/$AM$4)*180/PI()</f>
        <v>-0.00045836623609488</v>
      </c>
      <c r="AN7" s="6">
        <f>ATAN(S7/$AN$4)*180/PI()</f>
        <v>-0.000114591559026012</v>
      </c>
      <c r="AO7" s="6">
        <f>AM7+AN7</f>
        <v>-0.000572957795120892</v>
      </c>
      <c r="AP7" s="6">
        <f>AK7+AL7+AO7+180</f>
        <v>177.699663986665</v>
      </c>
    </row>
    <row r="8" s="2" customFormat="1" spans="2:42">
      <c r="B8" s="5" t="s">
        <v>28</v>
      </c>
      <c r="C8" s="6">
        <f>C5/C7</f>
        <v>2.5</v>
      </c>
      <c r="D8" s="6" t="s">
        <v>29</v>
      </c>
      <c r="E8" s="6" t="s">
        <v>30</v>
      </c>
      <c r="P8" s="16"/>
      <c r="Q8" s="17"/>
      <c r="S8" s="6">
        <v>2</v>
      </c>
      <c r="T8" s="25">
        <f t="shared" ref="T8:T17" si="0">$C$12*$C$17*1000000000</f>
        <v>35999999999.9999</v>
      </c>
      <c r="U8" s="25">
        <f t="shared" ref="U8:U39" si="1">-$C$12*1000000000000/($C$16*2*PI()*S8)</f>
        <v>-22575169232892.9</v>
      </c>
      <c r="V8" s="25">
        <f t="shared" ref="V8:V17" si="2">$C$12*1000000+$C$17*1000</f>
        <v>1360333.33333333</v>
      </c>
      <c r="W8" s="25">
        <f t="shared" ref="W8:W39" si="3">-1000000/($C$16*2*PI()*S8)</f>
        <v>-16931376.9246697</v>
      </c>
      <c r="X8" s="26">
        <f t="shared" ref="X8:X39" si="4">((T8^2+U8^2)^0.5/(V8^2+W8^2)^0.5)*$C$11/1000000</f>
        <v>996.789236260625</v>
      </c>
      <c r="Y8" s="26">
        <f t="shared" ref="Y8:Y17" si="5">$C$8*$C$15/1000</f>
        <v>0.005</v>
      </c>
      <c r="Z8" s="26">
        <f t="shared" ref="Z8:Z39" si="6">-$C$8*1000000/($C$14*2*PI()*S8)</f>
        <v>-3978.87357729738</v>
      </c>
      <c r="AA8" s="26">
        <f t="shared" ref="AA8:AA17" si="7">$C$8+$C$15/1000</f>
        <v>2.502</v>
      </c>
      <c r="AB8" s="26">
        <f t="shared" ref="AB8:AB39" si="8">-1000000/($C$14*2*PI()*S8)</f>
        <v>-1591.54943091895</v>
      </c>
      <c r="AC8" s="26">
        <f t="shared" ref="AC8:AC39" si="9">((Y8^2+Z8^2)^0.5/(AA8^2+AB8^2)^0.5)*$C$13</f>
        <v>12.4999845540977</v>
      </c>
      <c r="AD8" s="26">
        <f t="shared" ref="AD8:AD17" si="10">(2*PI()*$C$9*500)^2</f>
        <v>2467401100272.34</v>
      </c>
      <c r="AE8" s="26">
        <f t="shared" ref="AE8:AE39" si="11">(2*PI()*$C$9*500)^2-(2*PI()*S8)^2</f>
        <v>2467401100114.43</v>
      </c>
      <c r="AF8" s="26">
        <f t="shared" ref="AF8:AF39" si="12">2*PI()*$C$9*500*S8/$AE$3</f>
        <v>7853981.63397448</v>
      </c>
      <c r="AG8" s="26">
        <f t="shared" ref="AG8:AG39" si="13">AD8/(AE8^2+AF8^2)^0.5</f>
        <v>1.00000000005893</v>
      </c>
      <c r="AH8" s="6">
        <f t="shared" ref="AH8:AH39" si="14">X8*AC8*AG8*$C$6/$C$5</f>
        <v>1993.57600922927</v>
      </c>
      <c r="AI8" s="6">
        <f t="shared" ref="AI8:AI39" si="15">20*LOG10(AH8)</f>
        <v>65.9926559738789</v>
      </c>
      <c r="AK8" s="6">
        <f t="shared" ref="AK8:AK39" si="16">(ATAN(U8/T8)-ATAN(W8/V8))*180/PI()</f>
        <v>-4.50213312616421</v>
      </c>
      <c r="AL8" s="6">
        <f t="shared" ref="AL8:AL39" si="17">(ATAN(Z8/Y8)-ATAN(AB8/AA8))*180/PI()</f>
        <v>-0.0899999258002872</v>
      </c>
      <c r="AM8" s="6">
        <f t="shared" ref="AM8:AM39" si="18">ATAN(S8/$AM$4)*180/PI()</f>
        <v>-0.000916732472131089</v>
      </c>
      <c r="AN8" s="6">
        <f t="shared" ref="AN8:AN39" si="19">ATAN(S8/$AN$4)*180/PI()</f>
        <v>-0.000229183118051107</v>
      </c>
      <c r="AO8" s="6">
        <f t="shared" ref="AO8:AO39" si="20">AM8+AN8</f>
        <v>-0.0011459155901822</v>
      </c>
      <c r="AP8" s="6">
        <f t="shared" ref="AP8:AP39" si="21">AK8+AL8+AO8+180</f>
        <v>175.406721032445</v>
      </c>
    </row>
    <row r="9" s="2" customFormat="1" spans="2:42">
      <c r="B9" s="5" t="s">
        <v>31</v>
      </c>
      <c r="C9" s="6">
        <v>500</v>
      </c>
      <c r="D9" s="6" t="s">
        <v>32</v>
      </c>
      <c r="E9" s="6" t="s">
        <v>33</v>
      </c>
      <c r="P9" s="16"/>
      <c r="Q9" s="17"/>
      <c r="S9" s="6">
        <v>3</v>
      </c>
      <c r="T9" s="25">
        <f t="shared" si="0"/>
        <v>35999999999.9999</v>
      </c>
      <c r="U9" s="25">
        <f t="shared" si="1"/>
        <v>-15050112821928.6</v>
      </c>
      <c r="V9" s="25">
        <f t="shared" si="2"/>
        <v>1360333.33333333</v>
      </c>
      <c r="W9" s="25">
        <f t="shared" si="3"/>
        <v>-11287584.6164465</v>
      </c>
      <c r="X9" s="26">
        <f t="shared" si="4"/>
        <v>992.818960535719</v>
      </c>
      <c r="Y9" s="26">
        <f t="shared" si="5"/>
        <v>0.005</v>
      </c>
      <c r="Z9" s="26">
        <f t="shared" si="6"/>
        <v>-2652.58238486492</v>
      </c>
      <c r="AA9" s="26">
        <f t="shared" si="7"/>
        <v>2.502</v>
      </c>
      <c r="AB9" s="26">
        <f t="shared" si="8"/>
        <v>-1061.03295394597</v>
      </c>
      <c r="AC9" s="26">
        <f t="shared" si="9"/>
        <v>12.4999652468004</v>
      </c>
      <c r="AD9" s="26">
        <f t="shared" si="10"/>
        <v>2467401100272.34</v>
      </c>
      <c r="AE9" s="26">
        <f t="shared" si="11"/>
        <v>2467401099917.03</v>
      </c>
      <c r="AF9" s="26">
        <f t="shared" si="12"/>
        <v>11780972.4509617</v>
      </c>
      <c r="AG9" s="26">
        <f t="shared" si="13"/>
        <v>1.0000000001326</v>
      </c>
      <c r="AH9" s="6">
        <f t="shared" si="14"/>
        <v>1985.63240075305</v>
      </c>
      <c r="AI9" s="6">
        <f t="shared" si="15"/>
        <v>65.9579770171126</v>
      </c>
      <c r="AK9" s="6">
        <f t="shared" si="16"/>
        <v>-6.73485875218518</v>
      </c>
      <c r="AL9" s="6">
        <f t="shared" si="17"/>
        <v>-0.134999749576423</v>
      </c>
      <c r="AM9" s="6">
        <f t="shared" si="18"/>
        <v>-0.00137509870804996</v>
      </c>
      <c r="AN9" s="6">
        <f t="shared" si="19"/>
        <v>-0.000343774677074369</v>
      </c>
      <c r="AO9" s="6">
        <f t="shared" si="20"/>
        <v>-0.00171887338512432</v>
      </c>
      <c r="AP9" s="6">
        <f t="shared" si="21"/>
        <v>173.128422624853</v>
      </c>
    </row>
    <row r="10" s="2" customFormat="1" spans="2:42">
      <c r="B10" s="5" t="s">
        <v>34</v>
      </c>
      <c r="C10" s="6">
        <v>60</v>
      </c>
      <c r="D10" s="6" t="s">
        <v>13</v>
      </c>
      <c r="E10" s="6" t="s">
        <v>35</v>
      </c>
      <c r="P10" s="16"/>
      <c r="Q10" s="17"/>
      <c r="S10" s="6">
        <v>4</v>
      </c>
      <c r="T10" s="25">
        <f t="shared" si="0"/>
        <v>35999999999.9999</v>
      </c>
      <c r="U10" s="25">
        <f t="shared" si="1"/>
        <v>-11287584616446.4</v>
      </c>
      <c r="V10" s="25">
        <f t="shared" si="2"/>
        <v>1360333.33333333</v>
      </c>
      <c r="W10" s="25">
        <f t="shared" si="3"/>
        <v>-8465688.46233486</v>
      </c>
      <c r="X10" s="26">
        <f t="shared" si="4"/>
        <v>987.339480631853</v>
      </c>
      <c r="Y10" s="26">
        <f t="shared" si="5"/>
        <v>0.005</v>
      </c>
      <c r="Z10" s="26">
        <f t="shared" si="6"/>
        <v>-1989.43678864869</v>
      </c>
      <c r="AA10" s="26">
        <f t="shared" si="7"/>
        <v>2.502</v>
      </c>
      <c r="AB10" s="26">
        <f t="shared" si="8"/>
        <v>-795.774715459477</v>
      </c>
      <c r="AC10" s="26">
        <f t="shared" si="9"/>
        <v>12.4999382167345</v>
      </c>
      <c r="AD10" s="26">
        <f t="shared" si="10"/>
        <v>2467401100272.34</v>
      </c>
      <c r="AE10" s="26">
        <f t="shared" si="11"/>
        <v>2467401099640.68</v>
      </c>
      <c r="AF10" s="26">
        <f t="shared" si="12"/>
        <v>15707963.267949</v>
      </c>
      <c r="AG10" s="26">
        <f t="shared" si="13"/>
        <v>1.00000000023574</v>
      </c>
      <c r="AH10" s="6">
        <f t="shared" si="14"/>
        <v>1974.66920156005</v>
      </c>
      <c r="AI10" s="6">
        <f t="shared" si="15"/>
        <v>65.9098870527202</v>
      </c>
      <c r="AK10" s="6">
        <f t="shared" si="16"/>
        <v>-8.94596494449817</v>
      </c>
      <c r="AL10" s="6">
        <f t="shared" si="17"/>
        <v>-0.179999406404901</v>
      </c>
      <c r="AM10" s="6">
        <f t="shared" si="18"/>
        <v>-0.00183346494379281</v>
      </c>
      <c r="AN10" s="6">
        <f t="shared" si="19"/>
        <v>-0.00045836623609488</v>
      </c>
      <c r="AO10" s="6">
        <f t="shared" si="20"/>
        <v>-0.00229183117988769</v>
      </c>
      <c r="AP10" s="6">
        <f t="shared" si="21"/>
        <v>170.871743817917</v>
      </c>
    </row>
    <row r="11" s="2" customFormat="1" spans="2:42">
      <c r="B11" s="5" t="s">
        <v>36</v>
      </c>
      <c r="C11" s="6">
        <v>750</v>
      </c>
      <c r="D11" s="6" t="s">
        <v>37</v>
      </c>
      <c r="E11" s="6" t="s">
        <v>38</v>
      </c>
      <c r="P11" s="16"/>
      <c r="Q11" s="17"/>
      <c r="S11" s="6">
        <v>5</v>
      </c>
      <c r="T11" s="25">
        <f t="shared" si="0"/>
        <v>35999999999.9999</v>
      </c>
      <c r="U11" s="25">
        <f t="shared" si="1"/>
        <v>-9030067693157.16</v>
      </c>
      <c r="V11" s="25">
        <f t="shared" si="2"/>
        <v>1360333.33333333</v>
      </c>
      <c r="W11" s="25">
        <f t="shared" si="3"/>
        <v>-6772550.76986789</v>
      </c>
      <c r="X11" s="26">
        <f t="shared" si="4"/>
        <v>980.426019563145</v>
      </c>
      <c r="Y11" s="26">
        <f t="shared" si="5"/>
        <v>0.005</v>
      </c>
      <c r="Z11" s="26">
        <f t="shared" si="6"/>
        <v>-1591.54943091895</v>
      </c>
      <c r="AA11" s="26">
        <f t="shared" si="7"/>
        <v>2.502</v>
      </c>
      <c r="AB11" s="26">
        <f t="shared" si="8"/>
        <v>-636.619772367581</v>
      </c>
      <c r="AC11" s="26">
        <f t="shared" si="9"/>
        <v>12.4999034640503</v>
      </c>
      <c r="AD11" s="26">
        <f t="shared" si="10"/>
        <v>2467401100272.34</v>
      </c>
      <c r="AE11" s="26">
        <f t="shared" si="11"/>
        <v>2467401099285.38</v>
      </c>
      <c r="AF11" s="26">
        <f t="shared" si="12"/>
        <v>19634954.0849362</v>
      </c>
      <c r="AG11" s="26">
        <f t="shared" si="13"/>
        <v>1.00000000036834</v>
      </c>
      <c r="AH11" s="6">
        <f t="shared" si="14"/>
        <v>1960.83689643144</v>
      </c>
      <c r="AI11" s="6">
        <f t="shared" si="15"/>
        <v>65.8488294059842</v>
      </c>
      <c r="AK11" s="6">
        <f t="shared" si="16"/>
        <v>-11.1288751665401</v>
      </c>
      <c r="AL11" s="6">
        <f t="shared" si="17"/>
        <v>-0.22499884063843</v>
      </c>
      <c r="AM11" s="6">
        <f t="shared" si="18"/>
        <v>-0.00229183117930098</v>
      </c>
      <c r="AN11" s="6">
        <f t="shared" si="19"/>
        <v>-0.000572957795111725</v>
      </c>
      <c r="AO11" s="6">
        <f t="shared" si="20"/>
        <v>-0.00286478897441271</v>
      </c>
      <c r="AP11" s="6">
        <f t="shared" si="21"/>
        <v>168.643261203847</v>
      </c>
    </row>
    <row r="12" s="2" customFormat="1" spans="2:42">
      <c r="B12" s="5" t="s">
        <v>39</v>
      </c>
      <c r="C12" s="7">
        <f>10^(C10/20)/C11</f>
        <v>1.33333333333333</v>
      </c>
      <c r="D12" s="6" t="s">
        <v>40</v>
      </c>
      <c r="E12" s="6" t="s">
        <v>41</v>
      </c>
      <c r="P12" s="16"/>
      <c r="Q12" s="17"/>
      <c r="S12" s="6">
        <v>6</v>
      </c>
      <c r="T12" s="25">
        <f t="shared" si="0"/>
        <v>35999999999.9999</v>
      </c>
      <c r="U12" s="25">
        <f t="shared" si="1"/>
        <v>-7525056410964.3</v>
      </c>
      <c r="V12" s="25">
        <f t="shared" si="2"/>
        <v>1360333.33333333</v>
      </c>
      <c r="W12" s="25">
        <f t="shared" si="3"/>
        <v>-5643792.30822324</v>
      </c>
      <c r="X12" s="26">
        <f t="shared" si="4"/>
        <v>972.170341099037</v>
      </c>
      <c r="Y12" s="26">
        <f t="shared" si="5"/>
        <v>0.005</v>
      </c>
      <c r="Z12" s="26">
        <f t="shared" si="6"/>
        <v>-1326.29119243246</v>
      </c>
      <c r="AA12" s="26">
        <f t="shared" si="7"/>
        <v>2.502</v>
      </c>
      <c r="AB12" s="26">
        <f t="shared" si="8"/>
        <v>-530.516476972984</v>
      </c>
      <c r="AC12" s="26">
        <f t="shared" si="9"/>
        <v>12.4998609889409</v>
      </c>
      <c r="AD12" s="26">
        <f t="shared" si="10"/>
        <v>2467401100272.34</v>
      </c>
      <c r="AE12" s="26">
        <f t="shared" si="11"/>
        <v>2467401098851.12</v>
      </c>
      <c r="AF12" s="26">
        <f t="shared" si="12"/>
        <v>23561944.9019234</v>
      </c>
      <c r="AG12" s="26">
        <f t="shared" si="13"/>
        <v>1.00000000053041</v>
      </c>
      <c r="AH12" s="6">
        <f t="shared" si="14"/>
        <v>1944.31906044076</v>
      </c>
      <c r="AI12" s="6">
        <f t="shared" si="15"/>
        <v>65.7753506729051</v>
      </c>
      <c r="AK12" s="6">
        <f t="shared" si="16"/>
        <v>-13.2775155054162</v>
      </c>
      <c r="AL12" s="6">
        <f t="shared" si="17"/>
        <v>-0.269997996631374</v>
      </c>
      <c r="AM12" s="6">
        <f t="shared" si="18"/>
        <v>-0.0027501974145158</v>
      </c>
      <c r="AN12" s="6">
        <f t="shared" si="19"/>
        <v>-0.000687549354123986</v>
      </c>
      <c r="AO12" s="6">
        <f t="shared" si="20"/>
        <v>-0.00343774676863978</v>
      </c>
      <c r="AP12" s="6">
        <f t="shared" si="21"/>
        <v>166.449048751184</v>
      </c>
    </row>
    <row r="13" s="2" customFormat="1" spans="2:42">
      <c r="B13" s="5" t="s">
        <v>42</v>
      </c>
      <c r="C13" s="6">
        <v>5</v>
      </c>
      <c r="D13" s="6" t="s">
        <v>43</v>
      </c>
      <c r="E13" s="6" t="s">
        <v>44</v>
      </c>
      <c r="P13" s="16"/>
      <c r="Q13" s="17"/>
      <c r="S13" s="6">
        <v>7</v>
      </c>
      <c r="T13" s="25">
        <f t="shared" si="0"/>
        <v>35999999999.9999</v>
      </c>
      <c r="U13" s="25">
        <f t="shared" si="1"/>
        <v>-6450048352255.11</v>
      </c>
      <c r="V13" s="25">
        <f t="shared" si="2"/>
        <v>1360333.33333333</v>
      </c>
      <c r="W13" s="25">
        <f t="shared" si="3"/>
        <v>-4837536.26419135</v>
      </c>
      <c r="X13" s="26">
        <f t="shared" si="4"/>
        <v>962.677537824253</v>
      </c>
      <c r="Y13" s="26">
        <f t="shared" si="5"/>
        <v>0.005</v>
      </c>
      <c r="Z13" s="26">
        <f t="shared" si="6"/>
        <v>-1136.82102208497</v>
      </c>
      <c r="AA13" s="26">
        <f t="shared" si="7"/>
        <v>2.502</v>
      </c>
      <c r="AB13" s="26">
        <f t="shared" si="8"/>
        <v>-454.728408833987</v>
      </c>
      <c r="AC13" s="26">
        <f t="shared" si="9"/>
        <v>12.4998107916427</v>
      </c>
      <c r="AD13" s="26">
        <f t="shared" si="10"/>
        <v>2467401100272.34</v>
      </c>
      <c r="AE13" s="26">
        <f t="shared" si="11"/>
        <v>2467401098337.9</v>
      </c>
      <c r="AF13" s="26">
        <f t="shared" si="12"/>
        <v>27488935.7189107</v>
      </c>
      <c r="AG13" s="26">
        <f t="shared" si="13"/>
        <v>1.00000000072194</v>
      </c>
      <c r="AH13" s="6">
        <f t="shared" si="14"/>
        <v>1925.32593357679</v>
      </c>
      <c r="AI13" s="6">
        <f t="shared" si="15"/>
        <v>65.69008521374</v>
      </c>
      <c r="AK13" s="6">
        <f t="shared" si="16"/>
        <v>-15.3863973844416</v>
      </c>
      <c r="AL13" s="6">
        <f t="shared" si="17"/>
        <v>-0.314996818740157</v>
      </c>
      <c r="AM13" s="6">
        <f t="shared" si="18"/>
        <v>-0.00320856364937859</v>
      </c>
      <c r="AN13" s="6">
        <f t="shared" si="19"/>
        <v>-0.000802140913130746</v>
      </c>
      <c r="AO13" s="6">
        <f t="shared" si="20"/>
        <v>-0.00401070456250934</v>
      </c>
      <c r="AP13" s="6">
        <f t="shared" si="21"/>
        <v>164.294595092256</v>
      </c>
    </row>
    <row r="14" s="2" customFormat="1" spans="2:42">
      <c r="B14" s="5" t="s">
        <v>45</v>
      </c>
      <c r="C14" s="6">
        <v>50</v>
      </c>
      <c r="D14" s="6" t="s">
        <v>46</v>
      </c>
      <c r="E14" s="6" t="s">
        <v>47</v>
      </c>
      <c r="P14" s="16"/>
      <c r="Q14" s="17"/>
      <c r="S14" s="6">
        <v>8</v>
      </c>
      <c r="T14" s="25">
        <f t="shared" si="0"/>
        <v>35999999999.9999</v>
      </c>
      <c r="U14" s="25">
        <f t="shared" si="1"/>
        <v>-5643792308223.22</v>
      </c>
      <c r="V14" s="25">
        <f t="shared" si="2"/>
        <v>1360333.33333333</v>
      </c>
      <c r="W14" s="25">
        <f t="shared" si="3"/>
        <v>-4232844.23116743</v>
      </c>
      <c r="X14" s="26">
        <f t="shared" si="4"/>
        <v>952.062588899095</v>
      </c>
      <c r="Y14" s="26">
        <f t="shared" si="5"/>
        <v>0.005</v>
      </c>
      <c r="Z14" s="26">
        <f t="shared" si="6"/>
        <v>-994.718394324346</v>
      </c>
      <c r="AA14" s="26">
        <f t="shared" si="7"/>
        <v>2.502</v>
      </c>
      <c r="AB14" s="26">
        <f t="shared" si="8"/>
        <v>-397.887357729738</v>
      </c>
      <c r="AC14" s="26">
        <f t="shared" si="9"/>
        <v>12.4997528724346</v>
      </c>
      <c r="AD14" s="26">
        <f t="shared" si="10"/>
        <v>2467401100272.34</v>
      </c>
      <c r="AE14" s="26">
        <f t="shared" si="11"/>
        <v>2467401097745.72</v>
      </c>
      <c r="AF14" s="26">
        <f t="shared" si="12"/>
        <v>31415926.5358979</v>
      </c>
      <c r="AG14" s="26">
        <f t="shared" si="13"/>
        <v>1.00000000094294</v>
      </c>
      <c r="AH14" s="6">
        <f t="shared" si="14"/>
        <v>1904.08753464808</v>
      </c>
      <c r="AI14" s="6">
        <f t="shared" si="15"/>
        <v>65.5937381975741</v>
      </c>
      <c r="AK14" s="6">
        <f t="shared" si="16"/>
        <v>-17.4506768701447</v>
      </c>
      <c r="AL14" s="6">
        <f t="shared" si="17"/>
        <v>-0.359995251323674</v>
      </c>
      <c r="AM14" s="6">
        <f t="shared" si="18"/>
        <v>-0.00366692988383069</v>
      </c>
      <c r="AN14" s="6">
        <f t="shared" si="19"/>
        <v>-0.000916732472131089</v>
      </c>
      <c r="AO14" s="6">
        <f t="shared" si="20"/>
        <v>-0.00458366235596178</v>
      </c>
      <c r="AP14" s="6">
        <f t="shared" si="21"/>
        <v>162.184744216176</v>
      </c>
    </row>
    <row r="15" s="2" customFormat="1" spans="2:42">
      <c r="B15" s="5" t="s">
        <v>48</v>
      </c>
      <c r="C15" s="6">
        <v>2</v>
      </c>
      <c r="D15" s="6" t="s">
        <v>49</v>
      </c>
      <c r="E15" s="6" t="s">
        <v>50</v>
      </c>
      <c r="P15" s="16"/>
      <c r="Q15" s="17"/>
      <c r="S15" s="6">
        <v>9</v>
      </c>
      <c r="T15" s="25">
        <f t="shared" si="0"/>
        <v>35999999999.9999</v>
      </c>
      <c r="U15" s="25">
        <f t="shared" si="1"/>
        <v>-5016704273976.2</v>
      </c>
      <c r="V15" s="25">
        <f t="shared" si="2"/>
        <v>1360333.33333333</v>
      </c>
      <c r="W15" s="25">
        <f t="shared" si="3"/>
        <v>-3762528.20548216</v>
      </c>
      <c r="X15" s="26">
        <f t="shared" si="4"/>
        <v>940.446889000115</v>
      </c>
      <c r="Y15" s="26">
        <f t="shared" si="5"/>
        <v>0.005</v>
      </c>
      <c r="Z15" s="26">
        <f t="shared" si="6"/>
        <v>-884.194128288308</v>
      </c>
      <c r="AA15" s="26">
        <f t="shared" si="7"/>
        <v>2.502</v>
      </c>
      <c r="AB15" s="26">
        <f t="shared" si="8"/>
        <v>-353.677651315323</v>
      </c>
      <c r="AC15" s="26">
        <f t="shared" si="9"/>
        <v>12.4996872316388</v>
      </c>
      <c r="AD15" s="26">
        <f t="shared" si="10"/>
        <v>2467401100272.34</v>
      </c>
      <c r="AE15" s="26">
        <f t="shared" si="11"/>
        <v>2467401097074.59</v>
      </c>
      <c r="AF15" s="26">
        <f t="shared" si="12"/>
        <v>35342917.3528852</v>
      </c>
      <c r="AG15" s="26">
        <f t="shared" si="13"/>
        <v>1.00000000119341</v>
      </c>
      <c r="AH15" s="6">
        <f t="shared" si="14"/>
        <v>1880.84671751969</v>
      </c>
      <c r="AI15" s="6">
        <f t="shared" si="15"/>
        <v>65.4870680699879</v>
      </c>
      <c r="AK15" s="6">
        <f t="shared" si="16"/>
        <v>-19.4661902333884</v>
      </c>
      <c r="AL15" s="6">
        <f t="shared" si="17"/>
        <v>-0.404993238743692</v>
      </c>
      <c r="AM15" s="6">
        <f t="shared" si="18"/>
        <v>-0.00412529611781341</v>
      </c>
      <c r="AN15" s="6">
        <f t="shared" si="19"/>
        <v>-0.0010313240311241</v>
      </c>
      <c r="AO15" s="6">
        <f t="shared" si="20"/>
        <v>-0.00515662014893751</v>
      </c>
      <c r="AP15" s="6">
        <f t="shared" si="21"/>
        <v>160.123659907719</v>
      </c>
    </row>
    <row r="16" s="2" customFormat="1" spans="2:42">
      <c r="B16" s="5" t="s">
        <v>51</v>
      </c>
      <c r="C16" s="6">
        <v>0.0047</v>
      </c>
      <c r="D16" s="6" t="s">
        <v>46</v>
      </c>
      <c r="E16" s="6" t="s">
        <v>52</v>
      </c>
      <c r="P16" s="16"/>
      <c r="Q16" s="17"/>
      <c r="S16" s="6">
        <v>10</v>
      </c>
      <c r="T16" s="25">
        <f t="shared" si="0"/>
        <v>35999999999.9999</v>
      </c>
      <c r="U16" s="25">
        <f t="shared" si="1"/>
        <v>-4515033846578.58</v>
      </c>
      <c r="V16" s="25">
        <f t="shared" si="2"/>
        <v>1360333.33333333</v>
      </c>
      <c r="W16" s="25">
        <f t="shared" si="3"/>
        <v>-3386275.38493394</v>
      </c>
      <c r="X16" s="26">
        <f t="shared" si="4"/>
        <v>927.954926558653</v>
      </c>
      <c r="Y16" s="26">
        <f t="shared" si="5"/>
        <v>0.005</v>
      </c>
      <c r="Z16" s="26">
        <f t="shared" si="6"/>
        <v>-795.774715459477</v>
      </c>
      <c r="AA16" s="26">
        <f t="shared" si="7"/>
        <v>2.502</v>
      </c>
      <c r="AB16" s="26">
        <f t="shared" si="8"/>
        <v>-318.309886183791</v>
      </c>
      <c r="AC16" s="26">
        <f t="shared" si="9"/>
        <v>12.4996138696202</v>
      </c>
      <c r="AD16" s="26">
        <f t="shared" si="10"/>
        <v>2467401100272.34</v>
      </c>
      <c r="AE16" s="26">
        <f t="shared" si="11"/>
        <v>2467401096324.5</v>
      </c>
      <c r="AF16" s="26">
        <f t="shared" si="12"/>
        <v>39269908.1698724</v>
      </c>
      <c r="AG16" s="26">
        <f t="shared" si="13"/>
        <v>1.00000000147335</v>
      </c>
      <c r="AH16" s="6">
        <f t="shared" si="14"/>
        <v>1855.85252599751</v>
      </c>
      <c r="AI16" s="6">
        <f t="shared" si="15"/>
        <v>65.37086924703</v>
      </c>
      <c r="AK16" s="6">
        <f t="shared" si="16"/>
        <v>-21.4294668672064</v>
      </c>
      <c r="AL16" s="6">
        <f t="shared" si="17"/>
        <v>-0.449990725365312</v>
      </c>
      <c r="AM16" s="6">
        <f t="shared" si="18"/>
        <v>-0.00458366235126811</v>
      </c>
      <c r="AN16" s="6">
        <f t="shared" si="19"/>
        <v>-0.00114591559010886</v>
      </c>
      <c r="AO16" s="6">
        <f t="shared" si="20"/>
        <v>-0.00572957794137696</v>
      </c>
      <c r="AP16" s="6">
        <f t="shared" si="21"/>
        <v>158.114812829487</v>
      </c>
    </row>
    <row r="17" s="2" customFormat="1" spans="2:42">
      <c r="B17" s="8" t="s">
        <v>53</v>
      </c>
      <c r="C17" s="9">
        <v>27</v>
      </c>
      <c r="D17" s="9" t="s">
        <v>54</v>
      </c>
      <c r="E17" s="9" t="s">
        <v>55</v>
      </c>
      <c r="P17" s="16"/>
      <c r="Q17" s="17"/>
      <c r="S17" s="6">
        <v>20</v>
      </c>
      <c r="T17" s="25">
        <f t="shared" si="0"/>
        <v>35999999999.9999</v>
      </c>
      <c r="U17" s="25">
        <f t="shared" si="1"/>
        <v>-2257516923289.29</v>
      </c>
      <c r="V17" s="25">
        <f t="shared" si="2"/>
        <v>1360333.33333333</v>
      </c>
      <c r="W17" s="25">
        <f t="shared" si="3"/>
        <v>-1693137.69246697</v>
      </c>
      <c r="X17" s="26">
        <f t="shared" si="4"/>
        <v>779.658346284723</v>
      </c>
      <c r="Y17" s="26">
        <f t="shared" si="5"/>
        <v>0.005</v>
      </c>
      <c r="Z17" s="26">
        <f t="shared" si="6"/>
        <v>-397.887357729738</v>
      </c>
      <c r="AA17" s="26">
        <f t="shared" si="7"/>
        <v>2.502</v>
      </c>
      <c r="AB17" s="26">
        <f t="shared" si="8"/>
        <v>-159.154943091895</v>
      </c>
      <c r="AC17" s="26">
        <f t="shared" si="9"/>
        <v>12.4984556931447</v>
      </c>
      <c r="AD17" s="26">
        <f t="shared" si="10"/>
        <v>2467401100272.34</v>
      </c>
      <c r="AE17" s="26">
        <f t="shared" si="11"/>
        <v>2467401084480.97</v>
      </c>
      <c r="AF17" s="26">
        <f t="shared" si="12"/>
        <v>78539816.3397448</v>
      </c>
      <c r="AG17" s="26">
        <f t="shared" si="13"/>
        <v>1.00000000589339</v>
      </c>
      <c r="AH17" s="6">
        <f t="shared" si="14"/>
        <v>1559.12405668134</v>
      </c>
      <c r="AI17" s="6">
        <f t="shared" si="15"/>
        <v>63.857613451803</v>
      </c>
      <c r="AK17" s="6">
        <f t="shared" si="16"/>
        <v>-37.8661606025779</v>
      </c>
      <c r="AL17" s="6">
        <f t="shared" si="17"/>
        <v>-0.899925811172474</v>
      </c>
      <c r="AM17" s="6">
        <f t="shared" si="18"/>
        <v>-0.00916732464386533</v>
      </c>
      <c r="AN17" s="6">
        <f t="shared" si="19"/>
        <v>-0.00229183117930098</v>
      </c>
      <c r="AO17" s="6">
        <f t="shared" si="20"/>
        <v>-0.0114591558231663</v>
      </c>
      <c r="AP17" s="6">
        <f t="shared" si="21"/>
        <v>141.222454430426</v>
      </c>
    </row>
    <row r="18" s="2" customFormat="1" spans="2:42">
      <c r="B18" s="5" t="s">
        <v>56</v>
      </c>
      <c r="C18" s="10">
        <f>20*LOG10((C6/C5)*10^(C10/20)*C13*(C5/C7))</f>
        <v>66.0205999132796</v>
      </c>
      <c r="D18" s="6" t="s">
        <v>13</v>
      </c>
      <c r="E18" s="6" t="s">
        <v>57</v>
      </c>
      <c r="P18" s="16"/>
      <c r="Q18" s="17"/>
      <c r="S18" s="6">
        <v>30</v>
      </c>
      <c r="T18" s="25">
        <f t="shared" ref="T18:T27" si="22">$C$12*$C$17*1000000000</f>
        <v>35999999999.9999</v>
      </c>
      <c r="U18" s="25">
        <f t="shared" si="1"/>
        <v>-1505011282192.86</v>
      </c>
      <c r="V18" s="25">
        <f t="shared" ref="V18:V27" si="23">$C$12*1000000+$C$17*1000</f>
        <v>1360333.33333333</v>
      </c>
      <c r="W18" s="25">
        <f t="shared" si="3"/>
        <v>-1128758.46164465</v>
      </c>
      <c r="X18" s="26">
        <f t="shared" si="4"/>
        <v>638.74548709635</v>
      </c>
      <c r="Y18" s="26">
        <f t="shared" ref="Y18:Y27" si="24">$C$8*$C$15/1000</f>
        <v>0.005</v>
      </c>
      <c r="Z18" s="26">
        <f t="shared" si="6"/>
        <v>-265.258238486492</v>
      </c>
      <c r="AA18" s="26">
        <f t="shared" ref="AA18:AA27" si="25">$C$8+$C$15/1000</f>
        <v>2.502</v>
      </c>
      <c r="AB18" s="26">
        <f t="shared" si="8"/>
        <v>-106.103295394597</v>
      </c>
      <c r="AC18" s="26">
        <f t="shared" si="9"/>
        <v>12.4965261142342</v>
      </c>
      <c r="AD18" s="26">
        <f t="shared" ref="AD18:AD27" si="26">(2*PI()*$C$9*500)^2</f>
        <v>2467401100272.34</v>
      </c>
      <c r="AE18" s="26">
        <f t="shared" si="11"/>
        <v>2467401064741.76</v>
      </c>
      <c r="AF18" s="26">
        <f t="shared" si="12"/>
        <v>117809724.509617</v>
      </c>
      <c r="AG18" s="26">
        <f t="shared" si="13"/>
        <v>1.00000001326014</v>
      </c>
      <c r="AH18" s="6">
        <f t="shared" si="14"/>
        <v>1277.13596251081</v>
      </c>
      <c r="AI18" s="6">
        <f t="shared" si="15"/>
        <v>62.1247426848924</v>
      </c>
      <c r="AK18" s="6">
        <f t="shared" si="16"/>
        <v>-48.9450046736112</v>
      </c>
      <c r="AL18" s="6">
        <f t="shared" si="17"/>
        <v>-1.34974965909698</v>
      </c>
      <c r="AM18" s="6">
        <f t="shared" si="18"/>
        <v>-0.0137509868191208</v>
      </c>
      <c r="AN18" s="6">
        <f t="shared" si="19"/>
        <v>-0.00343774676665964</v>
      </c>
      <c r="AO18" s="6">
        <f t="shared" si="20"/>
        <v>-0.0171887335857805</v>
      </c>
      <c r="AP18" s="6">
        <f t="shared" si="21"/>
        <v>129.688056933706</v>
      </c>
    </row>
    <row r="19" s="2" customFormat="1" spans="16:42">
      <c r="P19" s="16"/>
      <c r="Q19" s="17"/>
      <c r="S19" s="6">
        <v>40</v>
      </c>
      <c r="T19" s="25">
        <f t="shared" si="22"/>
        <v>35999999999.9999</v>
      </c>
      <c r="U19" s="25">
        <f t="shared" si="1"/>
        <v>-1128758461644.64</v>
      </c>
      <c r="V19" s="25">
        <f t="shared" si="23"/>
        <v>1360333.33333333</v>
      </c>
      <c r="W19" s="25">
        <f t="shared" si="3"/>
        <v>-846568.846233486</v>
      </c>
      <c r="X19" s="26">
        <f t="shared" si="4"/>
        <v>528.633178837457</v>
      </c>
      <c r="Y19" s="26">
        <f t="shared" si="24"/>
        <v>0.005</v>
      </c>
      <c r="Z19" s="26">
        <f t="shared" si="6"/>
        <v>-198.943678864869</v>
      </c>
      <c r="AA19" s="26">
        <f t="shared" si="25"/>
        <v>2.502</v>
      </c>
      <c r="AB19" s="26">
        <f t="shared" si="8"/>
        <v>-79.5774715459477</v>
      </c>
      <c r="AC19" s="26">
        <f t="shared" si="9"/>
        <v>12.4938262045528</v>
      </c>
      <c r="AD19" s="26">
        <f t="shared" si="26"/>
        <v>2467401100272.34</v>
      </c>
      <c r="AE19" s="26">
        <f t="shared" si="11"/>
        <v>2467401037106.87</v>
      </c>
      <c r="AF19" s="26">
        <f t="shared" si="12"/>
        <v>157079632.67949</v>
      </c>
      <c r="AG19" s="26">
        <f t="shared" si="13"/>
        <v>1.00000002357358</v>
      </c>
      <c r="AH19" s="6">
        <f t="shared" si="14"/>
        <v>1056.74419488812</v>
      </c>
      <c r="AI19" s="6">
        <f t="shared" si="15"/>
        <v>60.4793974151409</v>
      </c>
      <c r="AK19" s="6">
        <f t="shared" si="16"/>
        <v>-56.2782405151787</v>
      </c>
      <c r="AL19" s="6">
        <f t="shared" si="17"/>
        <v>-1.79940675320518</v>
      </c>
      <c r="AM19" s="6">
        <f t="shared" si="18"/>
        <v>-0.0183346488183637</v>
      </c>
      <c r="AN19" s="6">
        <f t="shared" si="19"/>
        <v>-0.00458366235126811</v>
      </c>
      <c r="AO19" s="6">
        <f t="shared" si="20"/>
        <v>-0.0229183111696318</v>
      </c>
      <c r="AP19" s="6">
        <f t="shared" si="21"/>
        <v>121.899434420447</v>
      </c>
    </row>
    <row r="20" s="2" customFormat="1" spans="2:42">
      <c r="B20" s="2" t="s">
        <v>58</v>
      </c>
      <c r="P20" s="16"/>
      <c r="Q20" s="17"/>
      <c r="S20" s="6">
        <v>50</v>
      </c>
      <c r="T20" s="25">
        <f t="shared" si="22"/>
        <v>35999999999.9999</v>
      </c>
      <c r="U20" s="25">
        <f t="shared" si="1"/>
        <v>-903006769315.716</v>
      </c>
      <c r="V20" s="25">
        <f t="shared" si="23"/>
        <v>1360333.33333333</v>
      </c>
      <c r="W20" s="25">
        <f t="shared" si="3"/>
        <v>-677255.076986789</v>
      </c>
      <c r="X20" s="26">
        <f t="shared" si="4"/>
        <v>446.034151853372</v>
      </c>
      <c r="Y20" s="26">
        <f t="shared" si="24"/>
        <v>0.005</v>
      </c>
      <c r="Z20" s="26">
        <f t="shared" si="6"/>
        <v>-159.154943091895</v>
      </c>
      <c r="AA20" s="26">
        <f t="shared" si="25"/>
        <v>2.502</v>
      </c>
      <c r="AB20" s="26">
        <f t="shared" si="8"/>
        <v>-63.6619772367581</v>
      </c>
      <c r="AC20" s="26">
        <f t="shared" si="9"/>
        <v>12.490357462116</v>
      </c>
      <c r="AD20" s="26">
        <f t="shared" si="26"/>
        <v>2467401100272.34</v>
      </c>
      <c r="AE20" s="26">
        <f t="shared" si="11"/>
        <v>2467401001576.3</v>
      </c>
      <c r="AF20" s="26">
        <f t="shared" si="12"/>
        <v>196349540.849362</v>
      </c>
      <c r="AG20" s="26">
        <f t="shared" si="13"/>
        <v>1.00000003683371</v>
      </c>
      <c r="AH20" s="6">
        <f t="shared" si="14"/>
        <v>891.380192346493</v>
      </c>
      <c r="AI20" s="6">
        <f t="shared" si="15"/>
        <v>59.0012595851267</v>
      </c>
      <c r="AK20" s="6">
        <f t="shared" si="16"/>
        <v>-61.2501482046807</v>
      </c>
      <c r="AL20" s="6">
        <f t="shared" si="17"/>
        <v>-2.24884170095911</v>
      </c>
      <c r="AM20" s="6">
        <f t="shared" si="18"/>
        <v>-0.0229183105829231</v>
      </c>
      <c r="AN20" s="6">
        <f t="shared" si="19"/>
        <v>-0.00572957793220964</v>
      </c>
      <c r="AO20" s="6">
        <f t="shared" si="20"/>
        <v>-0.0286478885151327</v>
      </c>
      <c r="AP20" s="6">
        <f t="shared" si="21"/>
        <v>116.472362205845</v>
      </c>
    </row>
    <row r="21" s="2" customFormat="1" spans="2:42">
      <c r="B21" s="11" t="s">
        <v>59</v>
      </c>
      <c r="C21" s="10">
        <f>20*LOG10((C6/C5)*10^(C10/20)*C13*(C5/C7))</f>
        <v>66.0205999132796</v>
      </c>
      <c r="D21" s="6" t="s">
        <v>13</v>
      </c>
      <c r="E21" s="6" t="s">
        <v>57</v>
      </c>
      <c r="P21" s="16"/>
      <c r="Q21" s="17"/>
      <c r="S21" s="6">
        <v>60</v>
      </c>
      <c r="T21" s="25">
        <f t="shared" si="22"/>
        <v>35999999999.9999</v>
      </c>
      <c r="U21" s="25">
        <f t="shared" si="1"/>
        <v>-752505641096.43</v>
      </c>
      <c r="V21" s="25">
        <f t="shared" si="23"/>
        <v>1360333.33333333</v>
      </c>
      <c r="W21" s="25">
        <f t="shared" si="3"/>
        <v>-564379.230822324</v>
      </c>
      <c r="X21" s="26">
        <f t="shared" si="4"/>
        <v>383.64945677881</v>
      </c>
      <c r="Y21" s="26">
        <f t="shared" si="24"/>
        <v>0.005</v>
      </c>
      <c r="Z21" s="26">
        <f t="shared" si="6"/>
        <v>-132.629119243246</v>
      </c>
      <c r="AA21" s="26">
        <f t="shared" si="25"/>
        <v>2.502</v>
      </c>
      <c r="AB21" s="26">
        <f t="shared" si="8"/>
        <v>-53.0516476972984</v>
      </c>
      <c r="AC21" s="26">
        <f t="shared" si="9"/>
        <v>12.486121808985</v>
      </c>
      <c r="AD21" s="26">
        <f t="shared" si="26"/>
        <v>2467401100272.34</v>
      </c>
      <c r="AE21" s="26">
        <f t="shared" si="11"/>
        <v>2467400958150.04</v>
      </c>
      <c r="AF21" s="26">
        <f t="shared" si="12"/>
        <v>235619449.019234</v>
      </c>
      <c r="AG21" s="26">
        <f t="shared" si="13"/>
        <v>1.00000005304055</v>
      </c>
      <c r="AH21" s="6">
        <f t="shared" si="14"/>
        <v>766.447056539354</v>
      </c>
      <c r="AI21" s="6">
        <f t="shared" si="15"/>
        <v>57.6896432138944</v>
      </c>
      <c r="AK21" s="6">
        <f t="shared" si="16"/>
        <v>-64.7283151250584</v>
      </c>
      <c r="AL21" s="6">
        <f t="shared" si="17"/>
        <v>-2.69799927399325</v>
      </c>
      <c r="AM21" s="6">
        <f t="shared" si="18"/>
        <v>-0.0275019720541282</v>
      </c>
      <c r="AN21" s="6">
        <f t="shared" si="19"/>
        <v>-0.00687549350856751</v>
      </c>
      <c r="AO21" s="6">
        <f t="shared" si="20"/>
        <v>-0.0343774655626957</v>
      </c>
      <c r="AP21" s="6">
        <f t="shared" si="21"/>
        <v>112.539308135386</v>
      </c>
    </row>
    <row r="22" s="2" customFormat="1" spans="2:42">
      <c r="B22" s="11" t="s">
        <v>60</v>
      </c>
      <c r="C22" s="12">
        <f>1/(2*PI()*C12*C16)</f>
        <v>25.3970653870046</v>
      </c>
      <c r="D22" s="6" t="s">
        <v>61</v>
      </c>
      <c r="E22" s="6" t="s">
        <v>62</v>
      </c>
      <c r="P22" s="16"/>
      <c r="Q22" s="17"/>
      <c r="S22" s="6">
        <v>70</v>
      </c>
      <c r="T22" s="25">
        <f t="shared" si="22"/>
        <v>35999999999.9999</v>
      </c>
      <c r="U22" s="25">
        <f t="shared" si="1"/>
        <v>-645004835225.511</v>
      </c>
      <c r="V22" s="25">
        <f t="shared" si="23"/>
        <v>1360333.33333333</v>
      </c>
      <c r="W22" s="25">
        <f t="shared" si="3"/>
        <v>-483753.626419135</v>
      </c>
      <c r="X22" s="26">
        <f t="shared" si="4"/>
        <v>335.580056200911</v>
      </c>
      <c r="Y22" s="26">
        <f t="shared" si="24"/>
        <v>0.005</v>
      </c>
      <c r="Z22" s="26">
        <f t="shared" si="6"/>
        <v>-113.682102208497</v>
      </c>
      <c r="AA22" s="26">
        <f t="shared" si="25"/>
        <v>2.502</v>
      </c>
      <c r="AB22" s="26">
        <f t="shared" si="8"/>
        <v>-45.4728408833987</v>
      </c>
      <c r="AC22" s="26">
        <f t="shared" si="9"/>
        <v>12.4811215883138</v>
      </c>
      <c r="AD22" s="26">
        <f t="shared" si="26"/>
        <v>2467401100272.34</v>
      </c>
      <c r="AE22" s="26">
        <f t="shared" si="11"/>
        <v>2467400906828.09</v>
      </c>
      <c r="AF22" s="26">
        <f t="shared" si="12"/>
        <v>274889357.189107</v>
      </c>
      <c r="AG22" s="26">
        <f t="shared" si="13"/>
        <v>1.00000007219408</v>
      </c>
      <c r="AH22" s="6">
        <f t="shared" si="14"/>
        <v>670.146525829689</v>
      </c>
      <c r="AI22" s="6">
        <f t="shared" si="15"/>
        <v>56.523395409298</v>
      </c>
      <c r="AK22" s="6">
        <f t="shared" si="16"/>
        <v>-67.229334047852</v>
      </c>
      <c r="AL22" s="6">
        <f t="shared" si="17"/>
        <v>-3.1468244485884</v>
      </c>
      <c r="AM22" s="6">
        <f t="shared" si="18"/>
        <v>-0.0320856331733082</v>
      </c>
      <c r="AN22" s="6">
        <f t="shared" si="19"/>
        <v>-0.00802140907942499</v>
      </c>
      <c r="AO22" s="6">
        <f t="shared" si="20"/>
        <v>-0.0401070422527332</v>
      </c>
      <c r="AP22" s="6">
        <f t="shared" si="21"/>
        <v>109.583734461307</v>
      </c>
    </row>
    <row r="23" s="2" customFormat="1" spans="2:42">
      <c r="B23" s="11" t="s">
        <v>63</v>
      </c>
      <c r="C23" s="13">
        <f>1/(2*PI()*C16*C17/1000)</f>
        <v>1254.17606849405</v>
      </c>
      <c r="D23" s="6" t="s">
        <v>61</v>
      </c>
      <c r="E23" s="6" t="s">
        <v>64</v>
      </c>
      <c r="P23" s="16"/>
      <c r="Q23" s="17"/>
      <c r="S23" s="6">
        <v>80</v>
      </c>
      <c r="T23" s="25">
        <f t="shared" si="22"/>
        <v>35999999999.9999</v>
      </c>
      <c r="U23" s="25">
        <f t="shared" si="1"/>
        <v>-564379230822.322</v>
      </c>
      <c r="V23" s="25">
        <f t="shared" si="23"/>
        <v>1360333.33333333</v>
      </c>
      <c r="W23" s="25">
        <f t="shared" si="3"/>
        <v>-423284.423116743</v>
      </c>
      <c r="X23" s="26">
        <f t="shared" si="4"/>
        <v>297.714924415488</v>
      </c>
      <c r="Y23" s="26">
        <f t="shared" si="24"/>
        <v>0.005</v>
      </c>
      <c r="Z23" s="26">
        <f t="shared" si="6"/>
        <v>-99.4718394324346</v>
      </c>
      <c r="AA23" s="26">
        <f t="shared" si="25"/>
        <v>2.502</v>
      </c>
      <c r="AB23" s="26">
        <f t="shared" si="8"/>
        <v>-39.7887357729738</v>
      </c>
      <c r="AC23" s="26">
        <f t="shared" si="9"/>
        <v>12.4753595607587</v>
      </c>
      <c r="AD23" s="26">
        <f t="shared" si="26"/>
        <v>2467401100272.34</v>
      </c>
      <c r="AE23" s="26">
        <f t="shared" si="11"/>
        <v>2467400847610.47</v>
      </c>
      <c r="AF23" s="26">
        <f t="shared" si="12"/>
        <v>314159265.358979</v>
      </c>
      <c r="AG23" s="26">
        <f t="shared" si="13"/>
        <v>1.00000009429431</v>
      </c>
      <c r="AH23" s="6">
        <f t="shared" si="14"/>
        <v>594.256172624941</v>
      </c>
      <c r="AI23" s="6">
        <f t="shared" si="15"/>
        <v>55.4794740300667</v>
      </c>
      <c r="AK23" s="6">
        <f t="shared" si="16"/>
        <v>-69.0660532400919</v>
      </c>
      <c r="AL23" s="6">
        <f t="shared" si="17"/>
        <v>-3.59526244576914</v>
      </c>
      <c r="AM23" s="6">
        <f t="shared" si="18"/>
        <v>-0.0366692938817923</v>
      </c>
      <c r="AN23" s="6">
        <f t="shared" si="19"/>
        <v>-0.00916732464386534</v>
      </c>
      <c r="AO23" s="6">
        <f t="shared" si="20"/>
        <v>-0.0458366185256576</v>
      </c>
      <c r="AP23" s="6">
        <f t="shared" si="21"/>
        <v>107.292847695613</v>
      </c>
    </row>
    <row r="24" s="2" customFormat="1" spans="2:42">
      <c r="B24" s="11" t="s">
        <v>65</v>
      </c>
      <c r="C24" s="13">
        <f>1/(2*PI()*C8*C14/1000000)</f>
        <v>1273.23954473516</v>
      </c>
      <c r="D24" s="6" t="s">
        <v>61</v>
      </c>
      <c r="E24" s="6" t="s">
        <v>66</v>
      </c>
      <c r="P24" s="16"/>
      <c r="Q24" s="17"/>
      <c r="S24" s="6">
        <v>90</v>
      </c>
      <c r="T24" s="25">
        <f t="shared" si="22"/>
        <v>35999999999.9999</v>
      </c>
      <c r="U24" s="25">
        <f t="shared" si="1"/>
        <v>-501670427397.62</v>
      </c>
      <c r="V24" s="25">
        <f t="shared" si="23"/>
        <v>1360333.33333333</v>
      </c>
      <c r="W24" s="25">
        <f t="shared" si="3"/>
        <v>-376252.820548216</v>
      </c>
      <c r="X24" s="26">
        <f t="shared" si="4"/>
        <v>267.265241721663</v>
      </c>
      <c r="Y24" s="26">
        <f t="shared" si="24"/>
        <v>0.005</v>
      </c>
      <c r="Z24" s="26">
        <f t="shared" si="6"/>
        <v>-88.4194128288307</v>
      </c>
      <c r="AA24" s="26">
        <f t="shared" si="25"/>
        <v>2.502</v>
      </c>
      <c r="AB24" s="26">
        <f t="shared" si="8"/>
        <v>-35.3677651315323</v>
      </c>
      <c r="AC24" s="26">
        <f t="shared" si="9"/>
        <v>12.4688389002601</v>
      </c>
      <c r="AD24" s="26">
        <f t="shared" si="26"/>
        <v>2467401100272.34</v>
      </c>
      <c r="AE24" s="26">
        <f t="shared" si="11"/>
        <v>2467400780497.16</v>
      </c>
      <c r="AF24" s="26">
        <f t="shared" si="12"/>
        <v>353429173.528852</v>
      </c>
      <c r="AG24" s="26">
        <f t="shared" si="13"/>
        <v>1.00000011934124</v>
      </c>
      <c r="AH24" s="6">
        <f t="shared" si="14"/>
        <v>533.198022459143</v>
      </c>
      <c r="AI24" s="6">
        <f t="shared" si="15"/>
        <v>54.5377706004075</v>
      </c>
      <c r="AK24" s="6">
        <f t="shared" si="16"/>
        <v>-70.4346333206719</v>
      </c>
      <c r="AL24" s="6">
        <f t="shared" si="17"/>
        <v>-4.04325877095203</v>
      </c>
      <c r="AM24" s="6">
        <f t="shared" si="18"/>
        <v>-0.0412529541209098</v>
      </c>
      <c r="AN24" s="6">
        <f t="shared" si="19"/>
        <v>-0.0103132402009718</v>
      </c>
      <c r="AO24" s="6">
        <f t="shared" si="20"/>
        <v>-0.0515661943218816</v>
      </c>
      <c r="AP24" s="6">
        <f t="shared" si="21"/>
        <v>105.470541714054</v>
      </c>
    </row>
    <row r="25" s="2" customFormat="1" spans="2:42">
      <c r="B25" s="11" t="s">
        <v>67</v>
      </c>
      <c r="C25" s="13">
        <f>1000000000/(2*PI()*C14*C15)</f>
        <v>1591549.43091895</v>
      </c>
      <c r="D25" s="6" t="s">
        <v>61</v>
      </c>
      <c r="E25" s="6" t="s">
        <v>68</v>
      </c>
      <c r="P25" s="16"/>
      <c r="Q25" s="17"/>
      <c r="S25" s="6">
        <v>100</v>
      </c>
      <c r="T25" s="25">
        <f t="shared" si="22"/>
        <v>35999999999.9999</v>
      </c>
      <c r="U25" s="25">
        <f t="shared" si="1"/>
        <v>-451503384657.858</v>
      </c>
      <c r="V25" s="25">
        <f t="shared" si="23"/>
        <v>1360333.33333333</v>
      </c>
      <c r="W25" s="25">
        <f t="shared" si="3"/>
        <v>-338627.538493394</v>
      </c>
      <c r="X25" s="26">
        <f t="shared" si="4"/>
        <v>242.324736215954</v>
      </c>
      <c r="Y25" s="26">
        <f t="shared" si="24"/>
        <v>0.005</v>
      </c>
      <c r="Z25" s="26">
        <f t="shared" si="6"/>
        <v>-79.5774715459477</v>
      </c>
      <c r="AA25" s="26">
        <f t="shared" si="25"/>
        <v>2.502</v>
      </c>
      <c r="AB25" s="26">
        <f t="shared" si="8"/>
        <v>-31.8309886183791</v>
      </c>
      <c r="AC25" s="26">
        <f t="shared" si="9"/>
        <v>12.4615631892103</v>
      </c>
      <c r="AD25" s="26">
        <f t="shared" si="26"/>
        <v>2467401100272.34</v>
      </c>
      <c r="AE25" s="26">
        <f t="shared" si="11"/>
        <v>2467400705488.16</v>
      </c>
      <c r="AF25" s="26">
        <f t="shared" si="12"/>
        <v>392699081.698724</v>
      </c>
      <c r="AG25" s="26">
        <f t="shared" si="13"/>
        <v>1.00000014733487</v>
      </c>
      <c r="AH25" s="6">
        <f t="shared" si="14"/>
        <v>483.159273212411</v>
      </c>
      <c r="AI25" s="6">
        <f t="shared" si="15"/>
        <v>53.6818063862452</v>
      </c>
      <c r="AK25" s="6">
        <f t="shared" si="16"/>
        <v>-71.4627250736348</v>
      </c>
      <c r="AL25" s="6">
        <f t="shared" si="17"/>
        <v>-4.49075925307405</v>
      </c>
      <c r="AM25" s="6">
        <f t="shared" si="18"/>
        <v>-0.0458366138319899</v>
      </c>
      <c r="AN25" s="6">
        <f t="shared" si="19"/>
        <v>-0.0114591557498277</v>
      </c>
      <c r="AO25" s="6">
        <f t="shared" si="20"/>
        <v>-0.0572957695818176</v>
      </c>
      <c r="AP25" s="6">
        <f t="shared" si="21"/>
        <v>103.989219903709</v>
      </c>
    </row>
    <row r="26" s="2" customFormat="1" spans="16:42">
      <c r="P26" s="16"/>
      <c r="Q26" s="17"/>
      <c r="S26" s="6">
        <v>200</v>
      </c>
      <c r="T26" s="25">
        <f t="shared" si="22"/>
        <v>35999999999.9999</v>
      </c>
      <c r="U26" s="25">
        <f t="shared" si="1"/>
        <v>-225751692328.929</v>
      </c>
      <c r="V26" s="25">
        <f t="shared" si="23"/>
        <v>1360333.33333333</v>
      </c>
      <c r="W26" s="25">
        <f t="shared" si="3"/>
        <v>-169313.769246697</v>
      </c>
      <c r="X26" s="26">
        <f t="shared" si="4"/>
        <v>125.072478496036</v>
      </c>
      <c r="Y26" s="26">
        <f t="shared" si="24"/>
        <v>0.005</v>
      </c>
      <c r="Z26" s="26">
        <f t="shared" si="6"/>
        <v>-39.7887357729738</v>
      </c>
      <c r="AA26" s="26">
        <f t="shared" si="25"/>
        <v>2.502</v>
      </c>
      <c r="AB26" s="26">
        <f t="shared" si="8"/>
        <v>-15.9154943091895</v>
      </c>
      <c r="AC26" s="26">
        <f t="shared" si="9"/>
        <v>12.3483459014513</v>
      </c>
      <c r="AD26" s="26">
        <f t="shared" si="26"/>
        <v>2467401100272.34</v>
      </c>
      <c r="AE26" s="26">
        <f t="shared" si="11"/>
        <v>2467399521135.64</v>
      </c>
      <c r="AF26" s="26">
        <f t="shared" si="12"/>
        <v>785398163.397448</v>
      </c>
      <c r="AG26" s="26">
        <f t="shared" si="13"/>
        <v>1.00000058933972</v>
      </c>
      <c r="AH26" s="6">
        <f t="shared" si="14"/>
        <v>247.110261987148</v>
      </c>
      <c r="AI26" s="6">
        <f t="shared" si="15"/>
        <v>47.8578156228818</v>
      </c>
      <c r="AK26" s="6">
        <f t="shared" si="16"/>
        <v>-73.8446605737126</v>
      </c>
      <c r="AL26" s="6">
        <f t="shared" si="17"/>
        <v>-8.92688135858305</v>
      </c>
      <c r="AM26" s="6">
        <f t="shared" si="18"/>
        <v>-0.0916731689932142</v>
      </c>
      <c r="AN26" s="6">
        <f t="shared" si="19"/>
        <v>-0.0229183105829231</v>
      </c>
      <c r="AO26" s="6">
        <f t="shared" si="20"/>
        <v>-0.114591479576137</v>
      </c>
      <c r="AP26" s="6">
        <f t="shared" si="21"/>
        <v>97.1138665881282</v>
      </c>
    </row>
    <row r="27" s="2" customFormat="1" spans="16:42">
      <c r="P27" s="16"/>
      <c r="Q27" s="17"/>
      <c r="S27" s="6">
        <v>300</v>
      </c>
      <c r="T27" s="25">
        <f t="shared" si="22"/>
        <v>35999999999.9999</v>
      </c>
      <c r="U27" s="25">
        <f t="shared" si="1"/>
        <v>-150501128219.286</v>
      </c>
      <c r="V27" s="25">
        <f t="shared" si="23"/>
        <v>1360333.33333333</v>
      </c>
      <c r="W27" s="25">
        <f t="shared" si="3"/>
        <v>-112875.846164465</v>
      </c>
      <c r="X27" s="26">
        <f t="shared" si="4"/>
        <v>85.0252266046893</v>
      </c>
      <c r="Y27" s="26">
        <f t="shared" si="24"/>
        <v>0.005</v>
      </c>
      <c r="Z27" s="26">
        <f t="shared" si="6"/>
        <v>-26.5258238486492</v>
      </c>
      <c r="AA27" s="26">
        <f t="shared" si="25"/>
        <v>2.502</v>
      </c>
      <c r="AB27" s="26">
        <f t="shared" si="8"/>
        <v>-10.6103295394597</v>
      </c>
      <c r="AC27" s="26">
        <f t="shared" si="9"/>
        <v>12.1663196276261</v>
      </c>
      <c r="AD27" s="26">
        <f t="shared" si="26"/>
        <v>2467401100272.34</v>
      </c>
      <c r="AE27" s="26">
        <f t="shared" si="11"/>
        <v>2467397547214.75</v>
      </c>
      <c r="AF27" s="26">
        <f t="shared" si="12"/>
        <v>1178097245.09617</v>
      </c>
      <c r="AG27" s="26">
        <f t="shared" si="13"/>
        <v>1.00000132601527</v>
      </c>
      <c r="AH27" s="6">
        <f t="shared" si="14"/>
        <v>165.511272795622</v>
      </c>
      <c r="AI27" s="6">
        <f t="shared" si="15"/>
        <v>44.3765515690275</v>
      </c>
      <c r="AK27" s="6">
        <f t="shared" si="16"/>
        <v>-71.8042247364457</v>
      </c>
      <c r="AL27" s="6">
        <f t="shared" si="17"/>
        <v>-13.2576124329127</v>
      </c>
      <c r="AM27" s="6">
        <f t="shared" si="18"/>
        <v>-0.137509606813358</v>
      </c>
      <c r="AN27" s="6">
        <f t="shared" si="19"/>
        <v>-0.0343774635825542</v>
      </c>
      <c r="AO27" s="6">
        <f t="shared" si="20"/>
        <v>-0.171887070395912</v>
      </c>
      <c r="AP27" s="6">
        <f t="shared" si="21"/>
        <v>94.7662757602457</v>
      </c>
    </row>
    <row r="28" s="2" customFormat="1" spans="16:42">
      <c r="P28" s="16"/>
      <c r="Q28" s="17"/>
      <c r="S28" s="6">
        <v>400</v>
      </c>
      <c r="T28" s="25">
        <f t="shared" ref="T28:T37" si="27">$C$12*$C$17*1000000000</f>
        <v>35999999999.9999</v>
      </c>
      <c r="U28" s="25">
        <f t="shared" si="1"/>
        <v>-112875846164.464</v>
      </c>
      <c r="V28" s="25">
        <f t="shared" ref="V28:V37" si="28">$C$12*1000000+$C$17*1000</f>
        <v>1360333.33333333</v>
      </c>
      <c r="W28" s="25">
        <f t="shared" si="3"/>
        <v>-84656.8846233486</v>
      </c>
      <c r="X28" s="26">
        <f t="shared" si="4"/>
        <v>65.1948127141643</v>
      </c>
      <c r="Y28" s="26">
        <f t="shared" ref="Y28:Y37" si="29">$C$8*$C$15/1000</f>
        <v>0.005</v>
      </c>
      <c r="Z28" s="26">
        <f t="shared" si="6"/>
        <v>-19.8943678864869</v>
      </c>
      <c r="AA28" s="26">
        <f t="shared" ref="AA28:AA37" si="30">$C$8+$C$15/1000</f>
        <v>2.502</v>
      </c>
      <c r="AB28" s="26">
        <f t="shared" si="8"/>
        <v>-7.95774715459477</v>
      </c>
      <c r="AC28" s="26">
        <f t="shared" si="9"/>
        <v>11.924495825886</v>
      </c>
      <c r="AD28" s="26">
        <f t="shared" ref="AD28:AD37" si="31">(2*PI()*$C$9*500)^2</f>
        <v>2467401100272.34</v>
      </c>
      <c r="AE28" s="26">
        <f t="shared" si="11"/>
        <v>2467394783725.52</v>
      </c>
      <c r="AF28" s="26">
        <f t="shared" si="12"/>
        <v>1570796326.7949</v>
      </c>
      <c r="AG28" s="26">
        <f t="shared" si="13"/>
        <v>1.00000235736269</v>
      </c>
      <c r="AH28" s="6">
        <f t="shared" si="14"/>
        <v>124.386736756677</v>
      </c>
      <c r="AI28" s="6">
        <f t="shared" si="15"/>
        <v>41.8954814880483</v>
      </c>
      <c r="AK28" s="6">
        <f t="shared" si="16"/>
        <v>-68.7496595212203</v>
      </c>
      <c r="AL28" s="6">
        <f t="shared" si="17"/>
        <v>-17.439299994433</v>
      </c>
      <c r="AM28" s="6">
        <f t="shared" si="18"/>
        <v>-0.183345868623007</v>
      </c>
      <c r="AN28" s="6">
        <f t="shared" si="19"/>
        <v>-0.0458366138319899</v>
      </c>
      <c r="AO28" s="6">
        <f t="shared" si="20"/>
        <v>-0.229182482454997</v>
      </c>
      <c r="AP28" s="6">
        <f t="shared" si="21"/>
        <v>93.5818580018917</v>
      </c>
    </row>
    <row r="29" s="2" customFormat="1" spans="16:42">
      <c r="P29" s="16"/>
      <c r="Q29" s="17"/>
      <c r="S29" s="6">
        <v>500</v>
      </c>
      <c r="T29" s="25">
        <f t="shared" si="27"/>
        <v>35999999999.9999</v>
      </c>
      <c r="U29" s="25">
        <f t="shared" si="1"/>
        <v>-90300676931.5716</v>
      </c>
      <c r="V29" s="25">
        <f t="shared" si="28"/>
        <v>1360333.33333333</v>
      </c>
      <c r="W29" s="25">
        <f t="shared" si="3"/>
        <v>-67725.5076986789</v>
      </c>
      <c r="X29" s="26">
        <f t="shared" si="4"/>
        <v>53.5302338259949</v>
      </c>
      <c r="Y29" s="26">
        <f t="shared" si="29"/>
        <v>0.005</v>
      </c>
      <c r="Z29" s="26">
        <f t="shared" si="6"/>
        <v>-15.9154943091895</v>
      </c>
      <c r="AA29" s="26">
        <f t="shared" si="30"/>
        <v>2.502</v>
      </c>
      <c r="AB29" s="26">
        <f t="shared" si="8"/>
        <v>-6.36619772367581</v>
      </c>
      <c r="AC29" s="26">
        <f t="shared" si="9"/>
        <v>11.6337760902372</v>
      </c>
      <c r="AD29" s="26">
        <f t="shared" si="31"/>
        <v>2467401100272.34</v>
      </c>
      <c r="AE29" s="26">
        <f t="shared" si="11"/>
        <v>2467391230667.94</v>
      </c>
      <c r="AF29" s="26">
        <f t="shared" si="12"/>
        <v>1963495408.49362</v>
      </c>
      <c r="AG29" s="26">
        <f t="shared" si="13"/>
        <v>1.00000368338365</v>
      </c>
      <c r="AH29" s="6">
        <f t="shared" si="14"/>
        <v>99.6417677198528</v>
      </c>
      <c r="AI29" s="6">
        <f t="shared" si="15"/>
        <v>39.968828472867</v>
      </c>
      <c r="AK29" s="6">
        <f t="shared" si="16"/>
        <v>-65.4142343769619</v>
      </c>
      <c r="AL29" s="6">
        <f t="shared" si="17"/>
        <v>-21.437483882879</v>
      </c>
      <c r="AM29" s="6">
        <f t="shared" si="18"/>
        <v>-0.2291818957541</v>
      </c>
      <c r="AN29" s="6">
        <f t="shared" si="19"/>
        <v>-0.0572957604145006</v>
      </c>
      <c r="AO29" s="6">
        <f t="shared" si="20"/>
        <v>-0.286477656168601</v>
      </c>
      <c r="AP29" s="6">
        <f t="shared" si="21"/>
        <v>92.8618040839905</v>
      </c>
    </row>
    <row r="30" s="2" customFormat="1" spans="16:42">
      <c r="P30" s="16"/>
      <c r="Q30" s="17"/>
      <c r="S30" s="6">
        <v>600</v>
      </c>
      <c r="T30" s="25">
        <f t="shared" si="27"/>
        <v>35999999999.9999</v>
      </c>
      <c r="U30" s="25">
        <f t="shared" si="1"/>
        <v>-75250564109.643</v>
      </c>
      <c r="V30" s="25">
        <f t="shared" si="28"/>
        <v>1360333.33333333</v>
      </c>
      <c r="W30" s="25">
        <f t="shared" si="3"/>
        <v>-56437.9230822324</v>
      </c>
      <c r="X30" s="26">
        <f t="shared" si="4"/>
        <v>45.9520498176938</v>
      </c>
      <c r="Y30" s="26">
        <f t="shared" si="29"/>
        <v>0.005</v>
      </c>
      <c r="Z30" s="26">
        <f t="shared" si="6"/>
        <v>-13.2629119243246</v>
      </c>
      <c r="AA30" s="26">
        <f t="shared" si="30"/>
        <v>2.502</v>
      </c>
      <c r="AB30" s="26">
        <f t="shared" si="8"/>
        <v>-5.30516476972984</v>
      </c>
      <c r="AC30" s="26">
        <f t="shared" si="9"/>
        <v>11.3057543698442</v>
      </c>
      <c r="AD30" s="26">
        <f t="shared" si="31"/>
        <v>2467401100272.34</v>
      </c>
      <c r="AE30" s="26">
        <f t="shared" si="11"/>
        <v>2467386888042</v>
      </c>
      <c r="AF30" s="26">
        <f t="shared" si="12"/>
        <v>2356194490.19234</v>
      </c>
      <c r="AG30" s="26">
        <f t="shared" si="13"/>
        <v>1.00000530408028</v>
      </c>
      <c r="AH30" s="6">
        <f t="shared" si="14"/>
        <v>83.1240549790726</v>
      </c>
      <c r="AI30" s="6">
        <f t="shared" si="15"/>
        <v>38.3945344186245</v>
      </c>
      <c r="AK30" s="6">
        <f t="shared" si="16"/>
        <v>-62.0577246596439</v>
      </c>
      <c r="AL30" s="6">
        <f t="shared" si="17"/>
        <v>-25.2277096173004</v>
      </c>
      <c r="AM30" s="6">
        <f t="shared" si="18"/>
        <v>-0.275017629540377</v>
      </c>
      <c r="AN30" s="6">
        <f t="shared" si="19"/>
        <v>-0.0687549024133583</v>
      </c>
      <c r="AO30" s="6">
        <f t="shared" si="20"/>
        <v>-0.343772531953735</v>
      </c>
      <c r="AP30" s="6">
        <f t="shared" si="21"/>
        <v>92.3707931911019</v>
      </c>
    </row>
    <row r="31" s="2" customFormat="1" spans="16:42">
      <c r="P31" s="16"/>
      <c r="Q31" s="17"/>
      <c r="S31" s="6">
        <v>700</v>
      </c>
      <c r="T31" s="25">
        <f t="shared" si="27"/>
        <v>35999999999.9999</v>
      </c>
      <c r="U31" s="25">
        <f t="shared" si="1"/>
        <v>-64500483522.5511</v>
      </c>
      <c r="V31" s="25">
        <f t="shared" si="28"/>
        <v>1360333.33333333</v>
      </c>
      <c r="W31" s="25">
        <f t="shared" si="3"/>
        <v>-48375.3626419135</v>
      </c>
      <c r="X31" s="26">
        <f t="shared" si="4"/>
        <v>40.6996901015406</v>
      </c>
      <c r="Y31" s="26">
        <f t="shared" si="29"/>
        <v>0.005</v>
      </c>
      <c r="Z31" s="26">
        <f t="shared" si="6"/>
        <v>-11.3682102208497</v>
      </c>
      <c r="AA31" s="26">
        <f t="shared" si="30"/>
        <v>2.502</v>
      </c>
      <c r="AB31" s="26">
        <f t="shared" si="8"/>
        <v>-4.54728408833987</v>
      </c>
      <c r="AC31" s="26">
        <f t="shared" si="9"/>
        <v>10.9516891347334</v>
      </c>
      <c r="AD31" s="26">
        <f t="shared" si="31"/>
        <v>2467401100272.34</v>
      </c>
      <c r="AE31" s="26">
        <f t="shared" si="11"/>
        <v>2467381755847.71</v>
      </c>
      <c r="AF31" s="26">
        <f t="shared" si="12"/>
        <v>2748893571.89107</v>
      </c>
      <c r="AG31" s="26">
        <f t="shared" si="13"/>
        <v>1.0000072194552</v>
      </c>
      <c r="AH31" s="6">
        <f t="shared" si="14"/>
        <v>71.3173714883808</v>
      </c>
      <c r="AI31" s="6">
        <f t="shared" si="15"/>
        <v>37.063906564119</v>
      </c>
      <c r="AK31" s="6">
        <f t="shared" si="16"/>
        <v>-58.7959093097355</v>
      </c>
      <c r="AL31" s="6">
        <f t="shared" si="17"/>
        <v>-28.7952061149037</v>
      </c>
      <c r="AM31" s="6">
        <f t="shared" si="18"/>
        <v>-0.32085301131783</v>
      </c>
      <c r="AN31" s="6">
        <f t="shared" si="19"/>
        <v>-0.0802140389118372</v>
      </c>
      <c r="AO31" s="6">
        <f t="shared" si="20"/>
        <v>-0.401067050229668</v>
      </c>
      <c r="AP31" s="6">
        <f t="shared" si="21"/>
        <v>92.0078175251312</v>
      </c>
    </row>
    <row r="32" s="2" customFormat="1" spans="16:42">
      <c r="P32" s="16"/>
      <c r="Q32" s="17"/>
      <c r="S32" s="6">
        <v>800</v>
      </c>
      <c r="T32" s="25">
        <f t="shared" si="27"/>
        <v>35999999999.9999</v>
      </c>
      <c r="U32" s="25">
        <f t="shared" si="1"/>
        <v>-56437923082.2322</v>
      </c>
      <c r="V32" s="25">
        <f t="shared" si="28"/>
        <v>1360333.33333333</v>
      </c>
      <c r="W32" s="25">
        <f t="shared" si="3"/>
        <v>-42328.4423116743</v>
      </c>
      <c r="X32" s="26">
        <f t="shared" si="4"/>
        <v>36.8896759398384</v>
      </c>
      <c r="Y32" s="26">
        <f t="shared" si="29"/>
        <v>0.005</v>
      </c>
      <c r="Z32" s="26">
        <f t="shared" si="6"/>
        <v>-9.94718394324346</v>
      </c>
      <c r="AA32" s="26">
        <f t="shared" si="30"/>
        <v>2.502</v>
      </c>
      <c r="AB32" s="26">
        <f t="shared" si="8"/>
        <v>-3.97887357729738</v>
      </c>
      <c r="AC32" s="26">
        <f t="shared" si="9"/>
        <v>10.5817672718559</v>
      </c>
      <c r="AD32" s="26">
        <f t="shared" si="31"/>
        <v>2467401100272.34</v>
      </c>
      <c r="AE32" s="26">
        <f t="shared" si="11"/>
        <v>2467375834085.07</v>
      </c>
      <c r="AF32" s="26">
        <f t="shared" si="12"/>
        <v>3141592653.58979</v>
      </c>
      <c r="AG32" s="26">
        <f t="shared" si="13"/>
        <v>1.00000942951147</v>
      </c>
      <c r="AH32" s="6">
        <f t="shared" si="14"/>
        <v>62.4578634263144</v>
      </c>
      <c r="AI32" s="6">
        <f t="shared" si="15"/>
        <v>35.9117424739539</v>
      </c>
      <c r="AK32" s="6">
        <f t="shared" si="16"/>
        <v>-55.6852067922002</v>
      </c>
      <c r="AL32" s="6">
        <f t="shared" si="17"/>
        <v>-32.1337513182808</v>
      </c>
      <c r="AM32" s="6">
        <f t="shared" si="18"/>
        <v>-0.366687982425157</v>
      </c>
      <c r="AN32" s="6">
        <f t="shared" si="19"/>
        <v>-0.0916731689932142</v>
      </c>
      <c r="AO32" s="6">
        <f t="shared" si="20"/>
        <v>-0.458361151418371</v>
      </c>
      <c r="AP32" s="6">
        <f t="shared" si="21"/>
        <v>91.7226807381006</v>
      </c>
    </row>
    <row r="33" s="2" customFormat="1" spans="16:42">
      <c r="P33" s="16"/>
      <c r="Q33" s="17"/>
      <c r="S33" s="6">
        <v>900</v>
      </c>
      <c r="T33" s="25">
        <f t="shared" si="27"/>
        <v>35999999999.9999</v>
      </c>
      <c r="U33" s="25">
        <f t="shared" si="1"/>
        <v>-50167042739.762</v>
      </c>
      <c r="V33" s="25">
        <f t="shared" si="28"/>
        <v>1360333.33333333</v>
      </c>
      <c r="W33" s="25">
        <f t="shared" si="3"/>
        <v>-37625.2820548216</v>
      </c>
      <c r="X33" s="26">
        <f t="shared" si="4"/>
        <v>34.0304754022104</v>
      </c>
      <c r="Y33" s="26">
        <f t="shared" si="29"/>
        <v>0.005</v>
      </c>
      <c r="Z33" s="26">
        <f t="shared" si="6"/>
        <v>-8.84194128288307</v>
      </c>
      <c r="AA33" s="26">
        <f t="shared" si="30"/>
        <v>2.502</v>
      </c>
      <c r="AB33" s="26">
        <f t="shared" si="8"/>
        <v>-3.53677651315323</v>
      </c>
      <c r="AC33" s="26">
        <f t="shared" si="9"/>
        <v>10.2046834734799</v>
      </c>
      <c r="AD33" s="26">
        <f t="shared" si="31"/>
        <v>2467401100272.34</v>
      </c>
      <c r="AE33" s="26">
        <f t="shared" si="11"/>
        <v>2467369122754.08</v>
      </c>
      <c r="AF33" s="26">
        <f t="shared" si="12"/>
        <v>3534291735.28852</v>
      </c>
      <c r="AG33" s="26">
        <f t="shared" si="13"/>
        <v>1.00001193425267</v>
      </c>
      <c r="AH33" s="6">
        <f t="shared" si="14"/>
        <v>55.5638998947631</v>
      </c>
      <c r="AI33" s="6">
        <f t="shared" si="15"/>
        <v>34.8958544041394</v>
      </c>
      <c r="AK33" s="6">
        <f t="shared" si="16"/>
        <v>-52.7523475414673</v>
      </c>
      <c r="AL33" s="6">
        <f t="shared" si="17"/>
        <v>-35.2440983915476</v>
      </c>
      <c r="AM33" s="6">
        <f t="shared" si="18"/>
        <v>-0.412522484204206</v>
      </c>
      <c r="AN33" s="6">
        <f t="shared" si="19"/>
        <v>-0.103132291740769</v>
      </c>
      <c r="AO33" s="6">
        <f t="shared" si="20"/>
        <v>-0.515654775944975</v>
      </c>
      <c r="AP33" s="6">
        <f t="shared" si="21"/>
        <v>91.4878992910401</v>
      </c>
    </row>
    <row r="34" s="2" customFormat="1" spans="16:42">
      <c r="P34" s="16"/>
      <c r="Q34" s="17"/>
      <c r="S34" s="6">
        <v>1000</v>
      </c>
      <c r="T34" s="25">
        <f t="shared" si="27"/>
        <v>35999999999.9999</v>
      </c>
      <c r="U34" s="25">
        <f t="shared" si="1"/>
        <v>-45150338465.7858</v>
      </c>
      <c r="V34" s="25">
        <f t="shared" si="28"/>
        <v>1360333.33333333</v>
      </c>
      <c r="W34" s="25">
        <f t="shared" si="3"/>
        <v>-33862.7538493394</v>
      </c>
      <c r="X34" s="26">
        <f t="shared" si="4"/>
        <v>31.8273312265279</v>
      </c>
      <c r="Y34" s="26">
        <f t="shared" si="29"/>
        <v>0.005</v>
      </c>
      <c r="Z34" s="26">
        <f t="shared" si="6"/>
        <v>-7.95774715459477</v>
      </c>
      <c r="AA34" s="26">
        <f t="shared" si="30"/>
        <v>2.502</v>
      </c>
      <c r="AB34" s="26">
        <f t="shared" si="8"/>
        <v>-3.18309886183791</v>
      </c>
      <c r="AC34" s="26">
        <f t="shared" si="9"/>
        <v>9.82749049326554</v>
      </c>
      <c r="AD34" s="26">
        <f t="shared" si="31"/>
        <v>2467401100272.34</v>
      </c>
      <c r="AE34" s="26">
        <f t="shared" si="11"/>
        <v>2467361621854.73</v>
      </c>
      <c r="AF34" s="26">
        <f t="shared" si="12"/>
        <v>3926990816.98724</v>
      </c>
      <c r="AG34" s="26">
        <f t="shared" si="13"/>
        <v>1.00001473368282</v>
      </c>
      <c r="AH34" s="6">
        <f t="shared" si="14"/>
        <v>50.0459845595536</v>
      </c>
      <c r="AI34" s="6">
        <f t="shared" si="15"/>
        <v>33.9873847517566</v>
      </c>
      <c r="AK34" s="6">
        <f t="shared" si="16"/>
        <v>-50.0074075790285</v>
      </c>
      <c r="AL34" s="6">
        <f t="shared" si="17"/>
        <v>-38.1322847097317</v>
      </c>
      <c r="AM34" s="6">
        <f t="shared" si="18"/>
        <v>-0.458356458000431</v>
      </c>
      <c r="AN34" s="6">
        <f t="shared" si="19"/>
        <v>-0.114591406237786</v>
      </c>
      <c r="AO34" s="6">
        <f t="shared" si="20"/>
        <v>-0.572947864238217</v>
      </c>
      <c r="AP34" s="6">
        <f t="shared" si="21"/>
        <v>91.2873598470016</v>
      </c>
    </row>
    <row r="35" s="2" customFormat="1" spans="16:42">
      <c r="P35" s="16"/>
      <c r="Q35" s="17"/>
      <c r="S35" s="6">
        <v>2000</v>
      </c>
      <c r="T35" s="25">
        <f t="shared" si="27"/>
        <v>35999999999.9999</v>
      </c>
      <c r="U35" s="25">
        <f t="shared" si="1"/>
        <v>-22575169232.8929</v>
      </c>
      <c r="V35" s="25">
        <f t="shared" si="28"/>
        <v>1360333.33333333</v>
      </c>
      <c r="W35" s="25">
        <f t="shared" si="3"/>
        <v>-16931.3769246697</v>
      </c>
      <c r="X35" s="26">
        <f t="shared" si="4"/>
        <v>23.4259742468625</v>
      </c>
      <c r="Y35" s="26">
        <f t="shared" si="29"/>
        <v>0.005</v>
      </c>
      <c r="Z35" s="26">
        <f t="shared" si="6"/>
        <v>-3.97887357729738</v>
      </c>
      <c r="AA35" s="26">
        <f t="shared" si="30"/>
        <v>2.502</v>
      </c>
      <c r="AB35" s="26">
        <f t="shared" si="8"/>
        <v>-1.59154943091895</v>
      </c>
      <c r="AC35" s="26">
        <f t="shared" si="9"/>
        <v>6.70905143530173</v>
      </c>
      <c r="AD35" s="26">
        <f t="shared" si="31"/>
        <v>2467401100272.34</v>
      </c>
      <c r="AE35" s="26">
        <f t="shared" si="11"/>
        <v>2467243186601.92</v>
      </c>
      <c r="AF35" s="26">
        <f t="shared" si="12"/>
        <v>7853981633.97448</v>
      </c>
      <c r="AG35" s="26">
        <f t="shared" si="13"/>
        <v>1.00005893710278</v>
      </c>
      <c r="AH35" s="6">
        <f t="shared" si="14"/>
        <v>25.1480526490957</v>
      </c>
      <c r="AI35" s="6">
        <f t="shared" si="15"/>
        <v>28.010087218061</v>
      </c>
      <c r="AK35" s="6">
        <f t="shared" si="16"/>
        <v>-31.378237946763</v>
      </c>
      <c r="AL35" s="6">
        <f t="shared" si="17"/>
        <v>-57.4671164638097</v>
      </c>
      <c r="AM35" s="6">
        <f t="shared" si="18"/>
        <v>-0.916654256385288</v>
      </c>
      <c r="AN35" s="6">
        <f t="shared" si="19"/>
        <v>-0.2291818957541</v>
      </c>
      <c r="AO35" s="6">
        <f t="shared" si="20"/>
        <v>-1.14583615213939</v>
      </c>
      <c r="AP35" s="6">
        <f t="shared" si="21"/>
        <v>90.0088094372879</v>
      </c>
    </row>
    <row r="36" s="2" customFormat="1" spans="16:42">
      <c r="P36" s="16"/>
      <c r="Q36" s="17"/>
      <c r="S36" s="6">
        <v>3000</v>
      </c>
      <c r="T36" s="25">
        <f t="shared" si="27"/>
        <v>35999999999.9999</v>
      </c>
      <c r="U36" s="25">
        <f t="shared" si="1"/>
        <v>-15050112821.9286</v>
      </c>
      <c r="V36" s="25">
        <f t="shared" si="28"/>
        <v>1360333.33333333</v>
      </c>
      <c r="W36" s="25">
        <f t="shared" si="3"/>
        <v>-11287.5846164465</v>
      </c>
      <c r="X36" s="26">
        <f t="shared" si="4"/>
        <v>21.5119839194698</v>
      </c>
      <c r="Y36" s="26">
        <f t="shared" si="29"/>
        <v>0.005</v>
      </c>
      <c r="Z36" s="26">
        <f t="shared" si="6"/>
        <v>-2.65258238486492</v>
      </c>
      <c r="AA36" s="26">
        <f t="shared" si="30"/>
        <v>2.502</v>
      </c>
      <c r="AB36" s="26">
        <f t="shared" si="8"/>
        <v>-1.06103295394597</v>
      </c>
      <c r="AC36" s="26">
        <f t="shared" si="9"/>
        <v>4.88023836362019</v>
      </c>
      <c r="AD36" s="26">
        <f t="shared" si="31"/>
        <v>2467401100272.34</v>
      </c>
      <c r="AE36" s="26">
        <f t="shared" si="11"/>
        <v>2467045794513.9</v>
      </c>
      <c r="AF36" s="26">
        <f t="shared" si="12"/>
        <v>11780972450.9617</v>
      </c>
      <c r="AG36" s="26">
        <f t="shared" si="13"/>
        <v>1.00013261737523</v>
      </c>
      <c r="AH36" s="6">
        <f t="shared" si="14"/>
        <v>16.7996050963315</v>
      </c>
      <c r="AI36" s="6">
        <f t="shared" si="15"/>
        <v>24.5059814601127</v>
      </c>
      <c r="AK36" s="6">
        <f t="shared" si="16"/>
        <v>-22.2123799677633</v>
      </c>
      <c r="AL36" s="6">
        <f t="shared" si="17"/>
        <v>-66.9114656794072</v>
      </c>
      <c r="AM36" s="6">
        <f t="shared" si="18"/>
        <v>-1.3748347805694</v>
      </c>
      <c r="AN36" s="6">
        <f t="shared" si="19"/>
        <v>-0.343770551871473</v>
      </c>
      <c r="AO36" s="6">
        <f t="shared" si="20"/>
        <v>-1.71860533244088</v>
      </c>
      <c r="AP36" s="6">
        <f t="shared" si="21"/>
        <v>89.1575490203886</v>
      </c>
    </row>
    <row r="37" s="2" customFormat="1" spans="16:42">
      <c r="P37" s="16"/>
      <c r="Q37" s="17"/>
      <c r="S37" s="6">
        <v>4000</v>
      </c>
      <c r="T37" s="25">
        <f t="shared" si="27"/>
        <v>35999999999.9999</v>
      </c>
      <c r="U37" s="25">
        <f t="shared" si="1"/>
        <v>-11287584616.4464</v>
      </c>
      <c r="V37" s="25">
        <f t="shared" si="28"/>
        <v>1360333.33333333</v>
      </c>
      <c r="W37" s="25">
        <f t="shared" si="3"/>
        <v>-8465.68846233486</v>
      </c>
      <c r="X37" s="26">
        <f t="shared" si="4"/>
        <v>20.8004367405018</v>
      </c>
      <c r="Y37" s="26">
        <f t="shared" si="29"/>
        <v>0.005</v>
      </c>
      <c r="Z37" s="26">
        <f t="shared" si="6"/>
        <v>-1.98943678864869</v>
      </c>
      <c r="AA37" s="26">
        <f t="shared" si="30"/>
        <v>2.502</v>
      </c>
      <c r="AB37" s="26">
        <f t="shared" si="8"/>
        <v>-0.795774715459477</v>
      </c>
      <c r="AC37" s="26">
        <f t="shared" si="9"/>
        <v>3.78869065542243</v>
      </c>
      <c r="AD37" s="26">
        <f t="shared" si="31"/>
        <v>2467401100272.34</v>
      </c>
      <c r="AE37" s="26">
        <f t="shared" si="11"/>
        <v>2466769445590.67</v>
      </c>
      <c r="AF37" s="26">
        <f t="shared" si="12"/>
        <v>15707963267.949</v>
      </c>
      <c r="AG37" s="26">
        <f t="shared" si="13"/>
        <v>1.00023578636187</v>
      </c>
      <c r="AH37" s="6">
        <f t="shared" si="14"/>
        <v>12.6120002858529</v>
      </c>
      <c r="AI37" s="6">
        <f t="shared" si="15"/>
        <v>22.0156794383844</v>
      </c>
      <c r="AK37" s="6">
        <f t="shared" si="16"/>
        <v>-17.0519432296554</v>
      </c>
      <c r="AL37" s="6">
        <f t="shared" si="17"/>
        <v>-72.2124514874564</v>
      </c>
      <c r="AM37" s="6">
        <f t="shared" si="18"/>
        <v>-1.83283950594206</v>
      </c>
      <c r="AN37" s="6">
        <f t="shared" si="19"/>
        <v>-0.458356458000432</v>
      </c>
      <c r="AO37" s="6">
        <f t="shared" si="20"/>
        <v>-2.29119596394249</v>
      </c>
      <c r="AP37" s="6">
        <f t="shared" si="21"/>
        <v>88.4444093189457</v>
      </c>
    </row>
    <row r="38" s="2" customFormat="1" spans="16:42">
      <c r="P38" s="16"/>
      <c r="Q38" s="17"/>
      <c r="S38" s="6">
        <v>5000</v>
      </c>
      <c r="T38" s="25">
        <f t="shared" ref="T38:T47" si="32">$C$12*$C$17*1000000000</f>
        <v>35999999999.9999</v>
      </c>
      <c r="U38" s="25">
        <f t="shared" si="1"/>
        <v>-9030067693.15716</v>
      </c>
      <c r="V38" s="25">
        <f t="shared" ref="V38:V47" si="33">$C$12*1000000+$C$17*1000</f>
        <v>1360333.33333333</v>
      </c>
      <c r="W38" s="25">
        <f t="shared" si="3"/>
        <v>-6772.55076986789</v>
      </c>
      <c r="X38" s="26">
        <f t="shared" si="4"/>
        <v>20.4627022483903</v>
      </c>
      <c r="Y38" s="26">
        <f t="shared" ref="Y38:Y47" si="34">$C$8*$C$15/1000</f>
        <v>0.005</v>
      </c>
      <c r="Z38" s="26">
        <f t="shared" si="6"/>
        <v>-1.59154943091895</v>
      </c>
      <c r="AA38" s="26">
        <f t="shared" ref="AA38:AA47" si="35">$C$8+$C$15/1000</f>
        <v>2.502</v>
      </c>
      <c r="AB38" s="26">
        <f t="shared" si="8"/>
        <v>-0.636619772367581</v>
      </c>
      <c r="AC38" s="26">
        <f t="shared" si="9"/>
        <v>3.08235599169597</v>
      </c>
      <c r="AD38" s="26">
        <f t="shared" ref="AD38:AD47" si="36">(2*PI()*$C$9*500)^2</f>
        <v>2467401100272.34</v>
      </c>
      <c r="AE38" s="26">
        <f t="shared" si="11"/>
        <v>2466414139832.23</v>
      </c>
      <c r="AF38" s="26">
        <f t="shared" si="12"/>
        <v>19634954084.9362</v>
      </c>
      <c r="AG38" s="26">
        <f t="shared" si="13"/>
        <v>1.00036846067501</v>
      </c>
      <c r="AH38" s="6">
        <f t="shared" si="14"/>
        <v>10.095451667908</v>
      </c>
      <c r="AI38" s="6">
        <f t="shared" si="15"/>
        <v>20.0825150787522</v>
      </c>
      <c r="AK38" s="6">
        <f t="shared" si="16"/>
        <v>-13.7960236645681</v>
      </c>
      <c r="AL38" s="6">
        <f t="shared" si="17"/>
        <v>-75.5443451653807</v>
      </c>
      <c r="AM38" s="6">
        <f t="shared" si="18"/>
        <v>-2.29061004263853</v>
      </c>
      <c r="AN38" s="6">
        <f t="shared" si="19"/>
        <v>-0.572938697683486</v>
      </c>
      <c r="AO38" s="6">
        <f t="shared" si="20"/>
        <v>-2.86354874032202</v>
      </c>
      <c r="AP38" s="6">
        <f t="shared" si="21"/>
        <v>87.7960824297292</v>
      </c>
    </row>
    <row r="39" s="2" customFormat="1" spans="16:42">
      <c r="P39" s="16"/>
      <c r="Q39" s="17"/>
      <c r="S39" s="6">
        <v>6000</v>
      </c>
      <c r="T39" s="25">
        <f t="shared" si="32"/>
        <v>35999999999.9999</v>
      </c>
      <c r="U39" s="25">
        <f t="shared" si="1"/>
        <v>-7525056410.9643</v>
      </c>
      <c r="V39" s="25">
        <f t="shared" si="33"/>
        <v>1360333.33333333</v>
      </c>
      <c r="W39" s="25">
        <f t="shared" si="3"/>
        <v>-5643.79230822324</v>
      </c>
      <c r="X39" s="26">
        <f t="shared" si="4"/>
        <v>20.2768798285373</v>
      </c>
      <c r="Y39" s="26">
        <f t="shared" si="34"/>
        <v>0.005</v>
      </c>
      <c r="Z39" s="26">
        <f t="shared" si="6"/>
        <v>-1.32629119243246</v>
      </c>
      <c r="AA39" s="26">
        <f t="shared" si="35"/>
        <v>2.502</v>
      </c>
      <c r="AB39" s="26">
        <f t="shared" si="8"/>
        <v>-0.530516476972984</v>
      </c>
      <c r="AC39" s="26">
        <f t="shared" si="9"/>
        <v>2.59283514905292</v>
      </c>
      <c r="AD39" s="26">
        <f t="shared" si="36"/>
        <v>2467401100272.34</v>
      </c>
      <c r="AE39" s="26">
        <f t="shared" si="11"/>
        <v>2465979877238.58</v>
      </c>
      <c r="AF39" s="26">
        <f t="shared" si="12"/>
        <v>23561944901.9234</v>
      </c>
      <c r="AG39" s="26">
        <f t="shared" si="13"/>
        <v>1.00053066168342</v>
      </c>
      <c r="AH39" s="6">
        <f t="shared" si="14"/>
        <v>8.41640096989878</v>
      </c>
      <c r="AI39" s="6">
        <f t="shared" si="15"/>
        <v>18.5025283547918</v>
      </c>
      <c r="AK39" s="6">
        <f t="shared" si="16"/>
        <v>-11.5687941833274</v>
      </c>
      <c r="AL39" s="6">
        <f t="shared" si="17"/>
        <v>-77.8124880286401</v>
      </c>
      <c r="AM39" s="6">
        <f t="shared" si="18"/>
        <v>-2.74808818005375</v>
      </c>
      <c r="AN39" s="6">
        <f t="shared" si="19"/>
        <v>-0.6875163546391</v>
      </c>
      <c r="AO39" s="6">
        <f t="shared" si="20"/>
        <v>-3.43560453469285</v>
      </c>
      <c r="AP39" s="6">
        <f t="shared" si="21"/>
        <v>87.1831132533396</v>
      </c>
    </row>
    <row r="40" s="2" customFormat="1" spans="16:42">
      <c r="P40" s="16"/>
      <c r="Q40" s="17"/>
      <c r="S40" s="6">
        <v>7000</v>
      </c>
      <c r="T40" s="25">
        <f t="shared" si="32"/>
        <v>35999999999.9999</v>
      </c>
      <c r="U40" s="25">
        <f t="shared" ref="U40:U70" si="37">-$C$12*1000000000000/($C$16*2*PI()*S40)</f>
        <v>-6450048352.25511</v>
      </c>
      <c r="V40" s="25">
        <f t="shared" si="33"/>
        <v>1360333.33333333</v>
      </c>
      <c r="W40" s="25">
        <f t="shared" ref="W40:W70" si="38">-1000000/($C$16*2*PI()*S40)</f>
        <v>-4837.53626419135</v>
      </c>
      <c r="X40" s="26">
        <f t="shared" ref="X40:X70" si="39">((T40^2+U40^2)^0.5/(V40^2+W40^2)^0.5)*$C$11/1000000</f>
        <v>20.1640058350061</v>
      </c>
      <c r="Y40" s="26">
        <f t="shared" si="34"/>
        <v>0.005</v>
      </c>
      <c r="Z40" s="26">
        <f t="shared" ref="Z40:Z70" si="40">-$C$8*1000000/($C$14*2*PI()*S40)</f>
        <v>-1.13682102208497</v>
      </c>
      <c r="AA40" s="26">
        <f t="shared" si="35"/>
        <v>2.502</v>
      </c>
      <c r="AB40" s="26">
        <f t="shared" ref="AB40:AB70" si="41">-1000000/($C$14*2*PI()*S40)</f>
        <v>-0.454728408833987</v>
      </c>
      <c r="AC40" s="26">
        <f t="shared" ref="AC40:AC70" si="42">((Y40^2+Z40^2)^0.5/(AA40^2+AB40^2)^0.5)*$C$13</f>
        <v>2.23522987272204</v>
      </c>
      <c r="AD40" s="26">
        <f t="shared" si="36"/>
        <v>2467401100272.34</v>
      </c>
      <c r="AE40" s="26">
        <f t="shared" ref="AE40:AE70" si="43">(2*PI()*$C$9*500)^2-(2*PI()*S40)^2</f>
        <v>2465466657809.73</v>
      </c>
      <c r="AF40" s="26">
        <f t="shared" ref="AF40:AF70" si="44">2*PI()*$C$9*500*S40/$AE$3</f>
        <v>27488935718.9107</v>
      </c>
      <c r="AG40" s="26">
        <f t="shared" ref="AG40:AG70" si="45">AD40/(AE40^2+AF40^2)^0.5</f>
        <v>1.00072241551994</v>
      </c>
      <c r="AH40" s="6">
        <f t="shared" ref="AH40:AH70" si="46">X40*AC40*AG40*$C$6/$C$5</f>
        <v>7.21659973152035</v>
      </c>
      <c r="AI40" s="6">
        <f t="shared" ref="AI40:AI70" si="47">20*LOG10(AH40)</f>
        <v>17.1666523567168</v>
      </c>
      <c r="AK40" s="6">
        <f t="shared" ref="AK40:AK70" si="48">(ATAN(U40/T40)-ATAN(W40/V40))*180/PI()</f>
        <v>-9.95404255172194</v>
      </c>
      <c r="AL40" s="6">
        <f t="shared" ref="AL40:AL70" si="49">(ATAN(Z40/Y40)-ATAN(AB40/AA40))*180/PI()</f>
        <v>-79.4471604213097</v>
      </c>
      <c r="AM40" s="6">
        <f t="shared" ref="AM40:AM70" si="50">ATAN(S40/$AM$4)*180/PI()</f>
        <v>-3.2052159310135</v>
      </c>
      <c r="AN40" s="6">
        <f t="shared" ref="AN40:AN70" si="51">ATAN(S40/$AN$4)*180/PI()</f>
        <v>-0.802088512805638</v>
      </c>
      <c r="AO40" s="6">
        <f t="shared" ref="AO40:AO70" si="52">AM40+AN40</f>
        <v>-4.00730444381913</v>
      </c>
      <c r="AP40" s="6">
        <f t="shared" ref="AP40:AP70" si="53">AK40+AL40+AO40+180</f>
        <v>86.5914925831492</v>
      </c>
    </row>
    <row r="41" s="2" customFormat="1" spans="16:42">
      <c r="P41" s="16"/>
      <c r="Q41" s="17"/>
      <c r="S41" s="6">
        <v>8000</v>
      </c>
      <c r="T41" s="25">
        <f t="shared" si="32"/>
        <v>35999999999.9999</v>
      </c>
      <c r="U41" s="25">
        <f t="shared" si="37"/>
        <v>-5643792308.22322</v>
      </c>
      <c r="V41" s="25">
        <f t="shared" si="33"/>
        <v>1360333.33333333</v>
      </c>
      <c r="W41" s="25">
        <f t="shared" si="38"/>
        <v>-4232.84423116743</v>
      </c>
      <c r="X41" s="26">
        <f t="shared" si="39"/>
        <v>20.0904063519919</v>
      </c>
      <c r="Y41" s="26">
        <f t="shared" si="34"/>
        <v>0.005</v>
      </c>
      <c r="Z41" s="26">
        <f t="shared" si="40"/>
        <v>-0.994718394324346</v>
      </c>
      <c r="AA41" s="26">
        <f t="shared" si="35"/>
        <v>2.502</v>
      </c>
      <c r="AB41" s="26">
        <f t="shared" si="41"/>
        <v>-0.397887357729738</v>
      </c>
      <c r="AC41" s="26">
        <f t="shared" si="42"/>
        <v>1.96320211182991</v>
      </c>
      <c r="AD41" s="26">
        <f t="shared" si="36"/>
        <v>2467401100272.34</v>
      </c>
      <c r="AE41" s="26">
        <f t="shared" si="43"/>
        <v>2464874481545.66</v>
      </c>
      <c r="AF41" s="26">
        <f t="shared" si="44"/>
        <v>31415926535.8979</v>
      </c>
      <c r="AG41" s="26">
        <f t="shared" si="45"/>
        <v>1.00094375309077</v>
      </c>
      <c r="AH41" s="6">
        <f t="shared" si="46"/>
        <v>6.31660019869983</v>
      </c>
      <c r="AI41" s="6">
        <f t="shared" si="47"/>
        <v>16.0096677927764</v>
      </c>
      <c r="AK41" s="6">
        <f t="shared" si="48"/>
        <v>-8.7315706366782</v>
      </c>
      <c r="AL41" s="6">
        <f t="shared" si="49"/>
        <v>-80.6760507020983</v>
      </c>
      <c r="AM41" s="6">
        <f t="shared" si="50"/>
        <v>-3.6619355755198</v>
      </c>
      <c r="AN41" s="6">
        <f t="shared" si="51"/>
        <v>-0.916654256385288</v>
      </c>
      <c r="AO41" s="6">
        <f t="shared" si="52"/>
        <v>-4.57858983190509</v>
      </c>
      <c r="AP41" s="6">
        <f t="shared" si="53"/>
        <v>86.0137888293184</v>
      </c>
    </row>
    <row r="42" s="2" customFormat="1" spans="16:42">
      <c r="P42" s="16"/>
      <c r="Q42" s="17"/>
      <c r="S42" s="6">
        <v>9000</v>
      </c>
      <c r="T42" s="25">
        <f t="shared" si="32"/>
        <v>35999999999.9999</v>
      </c>
      <c r="U42" s="25">
        <f t="shared" si="37"/>
        <v>-5016704273.9762</v>
      </c>
      <c r="V42" s="25">
        <f t="shared" si="33"/>
        <v>1360333.33333333</v>
      </c>
      <c r="W42" s="25">
        <f t="shared" si="38"/>
        <v>-3762.52820548216</v>
      </c>
      <c r="X42" s="26">
        <f t="shared" si="39"/>
        <v>20.0397903477641</v>
      </c>
      <c r="Y42" s="26">
        <f t="shared" si="34"/>
        <v>0.005</v>
      </c>
      <c r="Z42" s="26">
        <f t="shared" si="40"/>
        <v>-0.884194128288307</v>
      </c>
      <c r="AA42" s="26">
        <f t="shared" si="35"/>
        <v>2.502</v>
      </c>
      <c r="AB42" s="26">
        <f t="shared" si="41"/>
        <v>-0.353677651315323</v>
      </c>
      <c r="AC42" s="26">
        <f t="shared" si="42"/>
        <v>1.74960897980932</v>
      </c>
      <c r="AD42" s="26">
        <f t="shared" si="36"/>
        <v>2467401100272.34</v>
      </c>
      <c r="AE42" s="26">
        <f t="shared" si="43"/>
        <v>2464203348446.39</v>
      </c>
      <c r="AF42" s="26">
        <f t="shared" si="44"/>
        <v>35342917352.8852</v>
      </c>
      <c r="AG42" s="26">
        <f t="shared" si="45"/>
        <v>1.00119471008644</v>
      </c>
      <c r="AH42" s="6">
        <f t="shared" si="46"/>
        <v>5.6165897325829</v>
      </c>
      <c r="AI42" s="6">
        <f t="shared" si="47"/>
        <v>14.9894540342873</v>
      </c>
      <c r="AK42" s="6">
        <f t="shared" si="48"/>
        <v>-7.77477035008975</v>
      </c>
      <c r="AL42" s="6">
        <f t="shared" si="49"/>
        <v>-81.630096829145</v>
      </c>
      <c r="AM42" s="6">
        <f t="shared" si="50"/>
        <v>-4.11818970398878</v>
      </c>
      <c r="AN42" s="6">
        <f t="shared" si="51"/>
        <v>-1.03121266988795</v>
      </c>
      <c r="AO42" s="6">
        <f t="shared" si="52"/>
        <v>-5.14940237387674</v>
      </c>
      <c r="AP42" s="6">
        <f t="shared" si="53"/>
        <v>85.4457304468885</v>
      </c>
    </row>
    <row r="43" s="2" customFormat="1" spans="16:42">
      <c r="P43" s="16"/>
      <c r="Q43" s="17"/>
      <c r="S43" s="6">
        <v>10000</v>
      </c>
      <c r="T43" s="25">
        <f t="shared" si="32"/>
        <v>35999999999.9999</v>
      </c>
      <c r="U43" s="25">
        <f t="shared" si="37"/>
        <v>-4515033846.57858</v>
      </c>
      <c r="V43" s="25">
        <f t="shared" si="33"/>
        <v>1360333.33333333</v>
      </c>
      <c r="W43" s="25">
        <f t="shared" si="38"/>
        <v>-3386.27538493394</v>
      </c>
      <c r="X43" s="26">
        <f t="shared" si="39"/>
        <v>20.0035063201493</v>
      </c>
      <c r="Y43" s="26">
        <f t="shared" si="34"/>
        <v>0.005</v>
      </c>
      <c r="Z43" s="26">
        <f t="shared" si="40"/>
        <v>-0.795774715459477</v>
      </c>
      <c r="AA43" s="26">
        <f t="shared" si="35"/>
        <v>2.502</v>
      </c>
      <c r="AB43" s="26">
        <f t="shared" si="41"/>
        <v>-0.318309886183791</v>
      </c>
      <c r="AC43" s="26">
        <f t="shared" si="42"/>
        <v>1.57759279588084</v>
      </c>
      <c r="AD43" s="26">
        <f t="shared" si="36"/>
        <v>2467401100272.34</v>
      </c>
      <c r="AE43" s="26">
        <f t="shared" si="43"/>
        <v>2463453258511.9</v>
      </c>
      <c r="AF43" s="26">
        <f t="shared" si="44"/>
        <v>39269908169.8724</v>
      </c>
      <c r="AG43" s="26">
        <f t="shared" si="45"/>
        <v>1.00147532699452</v>
      </c>
      <c r="AH43" s="6">
        <f t="shared" si="46"/>
        <v>5.05663118858002</v>
      </c>
      <c r="AI43" s="6">
        <f t="shared" si="47"/>
        <v>14.0772255800442</v>
      </c>
      <c r="AK43" s="6">
        <f t="shared" si="48"/>
        <v>-7.00594814831173</v>
      </c>
      <c r="AL43" s="6">
        <f t="shared" si="49"/>
        <v>-82.3896603072868</v>
      </c>
      <c r="AM43" s="6">
        <f t="shared" si="50"/>
        <v>-4.57392125990086</v>
      </c>
      <c r="AN43" s="6">
        <f t="shared" si="51"/>
        <v>-1.1457628381751</v>
      </c>
      <c r="AO43" s="6">
        <f t="shared" si="52"/>
        <v>-5.71968409807596</v>
      </c>
      <c r="AP43" s="6">
        <f t="shared" si="53"/>
        <v>84.8847074463255</v>
      </c>
    </row>
    <row r="44" s="2" customFormat="1" spans="16:42">
      <c r="P44" s="16"/>
      <c r="Q44" s="17"/>
      <c r="S44" s="6">
        <v>20000</v>
      </c>
      <c r="T44" s="25">
        <f t="shared" si="32"/>
        <v>35999999999.9999</v>
      </c>
      <c r="U44" s="25">
        <f t="shared" si="37"/>
        <v>-2257516923.28929</v>
      </c>
      <c r="V44" s="25">
        <f t="shared" si="33"/>
        <v>1360333.33333333</v>
      </c>
      <c r="W44" s="25">
        <f t="shared" si="38"/>
        <v>-1693.13769246697</v>
      </c>
      <c r="X44" s="26">
        <f t="shared" si="39"/>
        <v>19.8870479860799</v>
      </c>
      <c r="Y44" s="26">
        <f t="shared" si="34"/>
        <v>0.005</v>
      </c>
      <c r="Z44" s="26">
        <f t="shared" si="40"/>
        <v>-0.397887357729738</v>
      </c>
      <c r="AA44" s="26">
        <f t="shared" si="35"/>
        <v>2.502</v>
      </c>
      <c r="AB44" s="26">
        <f t="shared" si="41"/>
        <v>-0.159154943091895</v>
      </c>
      <c r="AC44" s="26">
        <f t="shared" si="42"/>
        <v>0.79359741005565</v>
      </c>
      <c r="AD44" s="26">
        <f t="shared" si="36"/>
        <v>2467401100272.34</v>
      </c>
      <c r="AE44" s="26">
        <f t="shared" si="43"/>
        <v>2451609733230.6</v>
      </c>
      <c r="AF44" s="26">
        <f t="shared" si="44"/>
        <v>78539816339.7448</v>
      </c>
      <c r="AG44" s="26">
        <f t="shared" si="45"/>
        <v>1.00592516243025</v>
      </c>
      <c r="AH44" s="6">
        <f t="shared" si="46"/>
        <v>2.54013160389588</v>
      </c>
      <c r="AI44" s="6">
        <f t="shared" si="47"/>
        <v>8.09712435889608</v>
      </c>
      <c r="AK44" s="6">
        <f t="shared" si="48"/>
        <v>-3.51693811911092</v>
      </c>
      <c r="AL44" s="6">
        <f t="shared" si="49"/>
        <v>-85.6402949655912</v>
      </c>
      <c r="AM44" s="6">
        <f t="shared" si="50"/>
        <v>-9.09027692082232</v>
      </c>
      <c r="AN44" s="6">
        <f t="shared" si="51"/>
        <v>-2.29061004263853</v>
      </c>
      <c r="AO44" s="6">
        <f t="shared" si="52"/>
        <v>-11.3808869634609</v>
      </c>
      <c r="AP44" s="6">
        <f t="shared" si="53"/>
        <v>79.461879951837</v>
      </c>
    </row>
    <row r="45" s="2" customFormat="1" spans="16:42">
      <c r="P45" s="16"/>
      <c r="Q45" s="17"/>
      <c r="S45" s="6">
        <v>30000</v>
      </c>
      <c r="T45" s="25">
        <f t="shared" si="32"/>
        <v>35999999999.9999</v>
      </c>
      <c r="U45" s="25">
        <f t="shared" si="37"/>
        <v>-1505011282.19286</v>
      </c>
      <c r="V45" s="25">
        <f t="shared" si="33"/>
        <v>1360333.33333333</v>
      </c>
      <c r="W45" s="25">
        <f t="shared" si="38"/>
        <v>-1128.75846164465</v>
      </c>
      <c r="X45" s="26">
        <f t="shared" si="39"/>
        <v>19.8654065873482</v>
      </c>
      <c r="Y45" s="26">
        <f t="shared" si="34"/>
        <v>0.005</v>
      </c>
      <c r="Z45" s="26">
        <f t="shared" si="40"/>
        <v>-0.265258238486492</v>
      </c>
      <c r="AA45" s="26">
        <f t="shared" si="35"/>
        <v>2.502</v>
      </c>
      <c r="AB45" s="26">
        <f t="shared" si="41"/>
        <v>-0.106103295394597</v>
      </c>
      <c r="AC45" s="26">
        <f t="shared" si="42"/>
        <v>0.529710468896224</v>
      </c>
      <c r="AD45" s="26">
        <f t="shared" si="36"/>
        <v>2467401100272.34</v>
      </c>
      <c r="AE45" s="26">
        <f t="shared" si="43"/>
        <v>2431870524428.42</v>
      </c>
      <c r="AF45" s="26">
        <f t="shared" si="44"/>
        <v>117809724509.617</v>
      </c>
      <c r="AG45" s="26">
        <f t="shared" si="45"/>
        <v>1.01342192267796</v>
      </c>
      <c r="AH45" s="6">
        <f t="shared" si="46"/>
        <v>1.70626425185304</v>
      </c>
      <c r="AI45" s="6">
        <f t="shared" si="47"/>
        <v>4.64092583832266</v>
      </c>
      <c r="AK45" s="6">
        <f t="shared" si="48"/>
        <v>-2.34636378122016</v>
      </c>
      <c r="AL45" s="6">
        <f t="shared" si="49"/>
        <v>-86.4918182697082</v>
      </c>
      <c r="AM45" s="6">
        <f t="shared" si="50"/>
        <v>-13.4957332807958</v>
      </c>
      <c r="AN45" s="6">
        <f t="shared" si="51"/>
        <v>-3.43363036245052</v>
      </c>
      <c r="AO45" s="6">
        <f t="shared" si="52"/>
        <v>-16.9293636432463</v>
      </c>
      <c r="AP45" s="6">
        <f t="shared" si="53"/>
        <v>74.2324543058253</v>
      </c>
    </row>
    <row r="46" s="2" customFormat="1" spans="16:42">
      <c r="P46" s="16"/>
      <c r="Q46" s="17"/>
      <c r="S46" s="6">
        <v>40000</v>
      </c>
      <c r="T46" s="25">
        <f t="shared" si="32"/>
        <v>35999999999.9999</v>
      </c>
      <c r="U46" s="25">
        <f t="shared" si="37"/>
        <v>-1128758461.64464</v>
      </c>
      <c r="V46" s="25">
        <f t="shared" si="33"/>
        <v>1360333.33333333</v>
      </c>
      <c r="W46" s="25">
        <f t="shared" si="38"/>
        <v>-846.568846233486</v>
      </c>
      <c r="X46" s="26">
        <f t="shared" si="39"/>
        <v>19.8578265169888</v>
      </c>
      <c r="Y46" s="26">
        <f t="shared" si="34"/>
        <v>0.005</v>
      </c>
      <c r="Z46" s="26">
        <f t="shared" si="40"/>
        <v>-0.198943678864869</v>
      </c>
      <c r="AA46" s="26">
        <f t="shared" si="35"/>
        <v>2.502</v>
      </c>
      <c r="AB46" s="26">
        <f t="shared" si="41"/>
        <v>-0.0795774715459477</v>
      </c>
      <c r="AC46" s="26">
        <f t="shared" si="42"/>
        <v>0.39749384561677</v>
      </c>
      <c r="AD46" s="26">
        <f t="shared" si="36"/>
        <v>2467401100272.34</v>
      </c>
      <c r="AE46" s="26">
        <f t="shared" si="43"/>
        <v>2404235632105.37</v>
      </c>
      <c r="AF46" s="26">
        <f t="shared" si="44"/>
        <v>157079632679.49</v>
      </c>
      <c r="AG46" s="26">
        <f t="shared" si="45"/>
        <v>1.0240891907743</v>
      </c>
      <c r="AH46" s="6">
        <f t="shared" si="46"/>
        <v>1.29336137198849</v>
      </c>
      <c r="AI46" s="6">
        <f t="shared" si="47"/>
        <v>2.23439772008709</v>
      </c>
      <c r="AK46" s="6">
        <f t="shared" si="48"/>
        <v>-1.76022996405449</v>
      </c>
      <c r="AL46" s="6">
        <f t="shared" si="49"/>
        <v>-86.7385937428873</v>
      </c>
      <c r="AM46" s="6">
        <f t="shared" si="50"/>
        <v>-17.7446716250569</v>
      </c>
      <c r="AN46" s="6">
        <f t="shared" si="51"/>
        <v>-4.57392125990086</v>
      </c>
      <c r="AO46" s="6">
        <f t="shared" si="52"/>
        <v>-22.3185928849578</v>
      </c>
      <c r="AP46" s="6">
        <f t="shared" si="53"/>
        <v>69.1825834081004</v>
      </c>
    </row>
    <row r="47" s="2" customFormat="1" spans="16:42">
      <c r="P47" s="16"/>
      <c r="Q47" s="17"/>
      <c r="S47" s="6">
        <v>50000</v>
      </c>
      <c r="T47" s="25">
        <f t="shared" si="32"/>
        <v>35999999999.9999</v>
      </c>
      <c r="U47" s="25">
        <f t="shared" si="37"/>
        <v>-903006769.315716</v>
      </c>
      <c r="V47" s="25">
        <f t="shared" si="33"/>
        <v>1360333.33333333</v>
      </c>
      <c r="W47" s="25">
        <f t="shared" si="38"/>
        <v>-677.255076986789</v>
      </c>
      <c r="X47" s="26">
        <f t="shared" si="39"/>
        <v>19.8543170459939</v>
      </c>
      <c r="Y47" s="26">
        <f t="shared" si="34"/>
        <v>0.005</v>
      </c>
      <c r="Z47" s="26">
        <f t="shared" si="40"/>
        <v>-0.159154943091895</v>
      </c>
      <c r="AA47" s="26">
        <f t="shared" si="35"/>
        <v>2.502</v>
      </c>
      <c r="AB47" s="26">
        <f t="shared" si="41"/>
        <v>-0.0636619772367581</v>
      </c>
      <c r="AC47" s="26">
        <f t="shared" si="42"/>
        <v>0.318109398773042</v>
      </c>
      <c r="AD47" s="26">
        <f t="shared" si="36"/>
        <v>2467401100272.34</v>
      </c>
      <c r="AE47" s="26">
        <f t="shared" si="43"/>
        <v>2368705056261.45</v>
      </c>
      <c r="AF47" s="26">
        <f t="shared" si="44"/>
        <v>196349540849.362</v>
      </c>
      <c r="AG47" s="26">
        <f t="shared" si="45"/>
        <v>1.03810621188086</v>
      </c>
      <c r="AH47" s="6">
        <f t="shared" si="46"/>
        <v>1.04904284494993</v>
      </c>
      <c r="AI47" s="6">
        <f t="shared" si="47"/>
        <v>0.415864519740483</v>
      </c>
      <c r="AK47" s="6">
        <f t="shared" si="48"/>
        <v>-1.40835335277826</v>
      </c>
      <c r="AL47" s="6">
        <f t="shared" si="49"/>
        <v>-86.7430475615323</v>
      </c>
      <c r="AM47" s="6">
        <f t="shared" si="50"/>
        <v>-21.8014094863518</v>
      </c>
      <c r="AN47" s="6">
        <f t="shared" si="51"/>
        <v>-5.71059313749964</v>
      </c>
      <c r="AO47" s="6">
        <f t="shared" si="52"/>
        <v>-27.5120026238515</v>
      </c>
      <c r="AP47" s="6">
        <f t="shared" si="53"/>
        <v>64.3365964618379</v>
      </c>
    </row>
    <row r="48" s="2" customFormat="1" spans="16:42">
      <c r="P48" s="16"/>
      <c r="Q48" s="17"/>
      <c r="S48" s="6">
        <v>60000</v>
      </c>
      <c r="T48" s="25">
        <f t="shared" ref="T48:T57" si="54">$C$12*$C$17*1000000000</f>
        <v>35999999999.9999</v>
      </c>
      <c r="U48" s="25">
        <f t="shared" si="37"/>
        <v>-752505641.09643</v>
      </c>
      <c r="V48" s="25">
        <f t="shared" ref="V48:V57" si="55">$C$12*1000000+$C$17*1000</f>
        <v>1360333.33333333</v>
      </c>
      <c r="W48" s="25">
        <f t="shared" si="38"/>
        <v>-564.379230822324</v>
      </c>
      <c r="X48" s="26">
        <f t="shared" si="39"/>
        <v>19.8524104062423</v>
      </c>
      <c r="Y48" s="26">
        <f t="shared" ref="Y48:Y57" si="56">$C$8*$C$15/1000</f>
        <v>0.005</v>
      </c>
      <c r="Z48" s="26">
        <f t="shared" si="40"/>
        <v>-0.132629119243246</v>
      </c>
      <c r="AA48" s="26">
        <f t="shared" ref="AA48:AA57" si="57">$C$8+$C$15/1000</f>
        <v>2.502</v>
      </c>
      <c r="AB48" s="26">
        <f t="shared" si="41"/>
        <v>-0.0530516476972984</v>
      </c>
      <c r="AC48" s="26">
        <f t="shared" si="42"/>
        <v>0.265174875356462</v>
      </c>
      <c r="AD48" s="26">
        <f t="shared" ref="AD48:AD57" si="58">(2*PI()*$C$9*500)^2</f>
        <v>2467401100272.34</v>
      </c>
      <c r="AE48" s="26">
        <f t="shared" si="43"/>
        <v>2325278796896.65</v>
      </c>
      <c r="AF48" s="26">
        <f t="shared" si="44"/>
        <v>235619449019.234</v>
      </c>
      <c r="AG48" s="26">
        <f t="shared" si="45"/>
        <v>1.05571451672098</v>
      </c>
      <c r="AH48" s="6">
        <f t="shared" si="46"/>
        <v>0.889225880575364</v>
      </c>
      <c r="AI48" s="6">
        <f t="shared" si="47"/>
        <v>-1.01975811632323</v>
      </c>
      <c r="AK48" s="6">
        <f t="shared" si="48"/>
        <v>-1.17370449386468</v>
      </c>
      <c r="AL48" s="6">
        <f t="shared" si="49"/>
        <v>-86.6263221309505</v>
      </c>
      <c r="AM48" s="6">
        <f t="shared" si="50"/>
        <v>-25.6410058243053</v>
      </c>
      <c r="AN48" s="6">
        <f t="shared" si="51"/>
        <v>-6.84277341263094</v>
      </c>
      <c r="AO48" s="6">
        <f t="shared" si="52"/>
        <v>-32.4837792369362</v>
      </c>
      <c r="AP48" s="6">
        <f t="shared" si="53"/>
        <v>59.7161941382486</v>
      </c>
    </row>
    <row r="49" s="2" customFormat="1" spans="16:42">
      <c r="P49" s="16"/>
      <c r="Q49" s="17"/>
      <c r="S49" s="6">
        <v>70000</v>
      </c>
      <c r="T49" s="25">
        <f t="shared" si="54"/>
        <v>35999999999.9999</v>
      </c>
      <c r="U49" s="25">
        <f t="shared" si="37"/>
        <v>-645004835.225511</v>
      </c>
      <c r="V49" s="25">
        <f t="shared" si="55"/>
        <v>1360333.33333333</v>
      </c>
      <c r="W49" s="25">
        <f t="shared" si="38"/>
        <v>-483.753626419135</v>
      </c>
      <c r="X49" s="26">
        <f t="shared" si="39"/>
        <v>19.8512606739686</v>
      </c>
      <c r="Y49" s="26">
        <f t="shared" si="56"/>
        <v>0.005</v>
      </c>
      <c r="Z49" s="26">
        <f t="shared" si="40"/>
        <v>-0.113682102208497</v>
      </c>
      <c r="AA49" s="26">
        <f t="shared" si="57"/>
        <v>2.502</v>
      </c>
      <c r="AB49" s="26">
        <f t="shared" si="41"/>
        <v>-0.0454728408833987</v>
      </c>
      <c r="AC49" s="26">
        <f t="shared" si="42"/>
        <v>0.227364540015342</v>
      </c>
      <c r="AD49" s="26">
        <f t="shared" si="58"/>
        <v>2467401100272.34</v>
      </c>
      <c r="AE49" s="26">
        <f t="shared" si="43"/>
        <v>2273956854010.99</v>
      </c>
      <c r="AF49" s="26">
        <f t="shared" si="44"/>
        <v>274889357189.107</v>
      </c>
      <c r="AG49" s="26">
        <f t="shared" si="45"/>
        <v>1.07722701453149</v>
      </c>
      <c r="AH49" s="6">
        <f t="shared" si="46"/>
        <v>0.777925564425121</v>
      </c>
      <c r="AI49" s="6">
        <f t="shared" si="47"/>
        <v>-2.18123912719788</v>
      </c>
      <c r="AK49" s="6">
        <f t="shared" si="48"/>
        <v>-1.00607207144852</v>
      </c>
      <c r="AL49" s="6">
        <f t="shared" si="49"/>
        <v>-86.4404099973814</v>
      </c>
      <c r="AM49" s="6">
        <f t="shared" si="50"/>
        <v>-29.248826336547</v>
      </c>
      <c r="AN49" s="6">
        <f t="shared" si="51"/>
        <v>-7.96961039432136</v>
      </c>
      <c r="AO49" s="6">
        <f t="shared" si="52"/>
        <v>-37.2184367308683</v>
      </c>
      <c r="AP49" s="6">
        <f t="shared" si="53"/>
        <v>55.3350812003018</v>
      </c>
    </row>
    <row r="50" s="2" customFormat="1" spans="16:42">
      <c r="P50" s="16"/>
      <c r="Q50" s="17"/>
      <c r="S50" s="6">
        <v>80000</v>
      </c>
      <c r="T50" s="25">
        <f t="shared" si="54"/>
        <v>35999999999.9999</v>
      </c>
      <c r="U50" s="25">
        <f t="shared" si="37"/>
        <v>-564379230.822322</v>
      </c>
      <c r="V50" s="25">
        <f t="shared" si="55"/>
        <v>1360333.33333333</v>
      </c>
      <c r="W50" s="25">
        <f t="shared" si="38"/>
        <v>-423.284423116743</v>
      </c>
      <c r="X50" s="26">
        <f t="shared" si="39"/>
        <v>19.85051441781</v>
      </c>
      <c r="Y50" s="26">
        <f t="shared" si="56"/>
        <v>0.005</v>
      </c>
      <c r="Z50" s="26">
        <f t="shared" si="40"/>
        <v>-0.0994718394324346</v>
      </c>
      <c r="AA50" s="26">
        <f t="shared" si="57"/>
        <v>2.502</v>
      </c>
      <c r="AB50" s="26">
        <f t="shared" si="41"/>
        <v>-0.0397887357729738</v>
      </c>
      <c r="AC50" s="26">
        <f t="shared" si="42"/>
        <v>0.19901045613159</v>
      </c>
      <c r="AD50" s="26">
        <f t="shared" si="58"/>
        <v>2467401100272.34</v>
      </c>
      <c r="AE50" s="26">
        <f t="shared" si="43"/>
        <v>2214739227604.45</v>
      </c>
      <c r="AF50" s="26">
        <f t="shared" si="44"/>
        <v>314159265358.979</v>
      </c>
      <c r="AG50" s="26">
        <f t="shared" si="45"/>
        <v>1.1030400030152</v>
      </c>
      <c r="AH50" s="6">
        <f t="shared" si="46"/>
        <v>0.697202453072536</v>
      </c>
      <c r="AI50" s="6">
        <f t="shared" si="47"/>
        <v>-3.13282187031169</v>
      </c>
      <c r="AK50" s="6">
        <f t="shared" si="48"/>
        <v>-0.880335581618837</v>
      </c>
      <c r="AL50" s="6">
        <f t="shared" si="49"/>
        <v>-86.2113369588498</v>
      </c>
      <c r="AM50" s="6">
        <f t="shared" si="50"/>
        <v>-32.6192430711928</v>
      </c>
      <c r="AN50" s="6">
        <f t="shared" si="51"/>
        <v>-9.09027692082232</v>
      </c>
      <c r="AO50" s="6">
        <f t="shared" si="52"/>
        <v>-41.7095199920151</v>
      </c>
      <c r="AP50" s="6">
        <f t="shared" si="53"/>
        <v>51.1988074675162</v>
      </c>
    </row>
    <row r="51" s="2" customFormat="1" spans="16:42">
      <c r="P51" s="16"/>
      <c r="Q51" s="17"/>
      <c r="S51" s="6">
        <v>90000</v>
      </c>
      <c r="T51" s="25">
        <f t="shared" si="54"/>
        <v>35999999999.9999</v>
      </c>
      <c r="U51" s="25">
        <f t="shared" si="37"/>
        <v>-501670427.39762</v>
      </c>
      <c r="V51" s="25">
        <f t="shared" si="55"/>
        <v>1360333.33333333</v>
      </c>
      <c r="W51" s="25">
        <f t="shared" si="38"/>
        <v>-376.252820548216</v>
      </c>
      <c r="X51" s="26">
        <f t="shared" si="39"/>
        <v>19.8500027708079</v>
      </c>
      <c r="Y51" s="26">
        <f t="shared" si="56"/>
        <v>0.005</v>
      </c>
      <c r="Z51" s="26">
        <f t="shared" si="40"/>
        <v>-0.0884194128288307</v>
      </c>
      <c r="AA51" s="26">
        <f t="shared" si="57"/>
        <v>2.502</v>
      </c>
      <c r="AB51" s="26">
        <f t="shared" si="41"/>
        <v>-0.0353677651315323</v>
      </c>
      <c r="AC51" s="26">
        <f t="shared" si="42"/>
        <v>0.176962080047516</v>
      </c>
      <c r="AD51" s="26">
        <f t="shared" si="58"/>
        <v>2467401100272.34</v>
      </c>
      <c r="AE51" s="26">
        <f t="shared" si="43"/>
        <v>2147625917677.04</v>
      </c>
      <c r="AF51" s="26">
        <f t="shared" si="44"/>
        <v>353429173528.852</v>
      </c>
      <c r="AG51" s="26">
        <f t="shared" si="45"/>
        <v>1.13364863426056</v>
      </c>
      <c r="AH51" s="6">
        <f t="shared" si="46"/>
        <v>0.63714640640653</v>
      </c>
      <c r="AI51" s="6">
        <f t="shared" si="47"/>
        <v>-3.91521524061923</v>
      </c>
      <c r="AK51" s="6">
        <f t="shared" si="48"/>
        <v>-0.782534241613473</v>
      </c>
      <c r="AL51" s="6">
        <f t="shared" si="49"/>
        <v>-85.9535793688708</v>
      </c>
      <c r="AM51" s="6">
        <f t="shared" si="50"/>
        <v>-35.7538872544367</v>
      </c>
      <c r="AN51" s="6">
        <f t="shared" si="51"/>
        <v>-10.2039737217317</v>
      </c>
      <c r="AO51" s="6">
        <f t="shared" si="52"/>
        <v>-45.9578609761684</v>
      </c>
      <c r="AP51" s="6">
        <f t="shared" si="53"/>
        <v>47.3060254133473</v>
      </c>
    </row>
    <row r="52" s="2" customFormat="1" spans="16:42">
      <c r="P52" s="16"/>
      <c r="Q52" s="17"/>
      <c r="S52" s="6">
        <v>100000</v>
      </c>
      <c r="T52" s="25">
        <f t="shared" si="54"/>
        <v>35999999999.9999</v>
      </c>
      <c r="U52" s="25">
        <f t="shared" si="37"/>
        <v>-451503384.657858</v>
      </c>
      <c r="V52" s="25">
        <f t="shared" si="55"/>
        <v>1360333.33333333</v>
      </c>
      <c r="W52" s="25">
        <f t="shared" si="38"/>
        <v>-338.627538493394</v>
      </c>
      <c r="X52" s="26">
        <f t="shared" si="39"/>
        <v>19.8496367846137</v>
      </c>
      <c r="Y52" s="26">
        <f t="shared" si="56"/>
        <v>0.005</v>
      </c>
      <c r="Z52" s="26">
        <f t="shared" si="40"/>
        <v>-0.0795774715459477</v>
      </c>
      <c r="AA52" s="26">
        <f t="shared" si="57"/>
        <v>2.502</v>
      </c>
      <c r="AB52" s="26">
        <f t="shared" si="41"/>
        <v>-0.0318309886183791</v>
      </c>
      <c r="AC52" s="26">
        <f t="shared" si="42"/>
        <v>0.159328426333756</v>
      </c>
      <c r="AD52" s="26">
        <f t="shared" si="58"/>
        <v>2467401100272.34</v>
      </c>
      <c r="AE52" s="26">
        <f t="shared" si="43"/>
        <v>2072616924228.77</v>
      </c>
      <c r="AF52" s="26">
        <f t="shared" si="44"/>
        <v>392699081698.724</v>
      </c>
      <c r="AG52" s="26">
        <f t="shared" si="45"/>
        <v>1.16966641071113</v>
      </c>
      <c r="AH52" s="6">
        <f t="shared" si="46"/>
        <v>0.591872050492159</v>
      </c>
      <c r="AI52" s="6">
        <f t="shared" si="47"/>
        <v>-4.55544335780644</v>
      </c>
      <c r="AK52" s="6">
        <f t="shared" si="48"/>
        <v>-0.704289653346385</v>
      </c>
      <c r="AL52" s="6">
        <f t="shared" si="49"/>
        <v>-85.675836164503</v>
      </c>
      <c r="AM52" s="6">
        <f t="shared" si="50"/>
        <v>-38.6598082540901</v>
      </c>
      <c r="AN52" s="6">
        <f t="shared" si="51"/>
        <v>-11.3099324740202</v>
      </c>
      <c r="AO52" s="6">
        <f t="shared" si="52"/>
        <v>-49.9697407281103</v>
      </c>
      <c r="AP52" s="6">
        <f t="shared" si="53"/>
        <v>43.6501334540403</v>
      </c>
    </row>
    <row r="53" s="2" customFormat="1" spans="16:42">
      <c r="P53" s="16"/>
      <c r="Q53" s="17"/>
      <c r="S53" s="6">
        <v>200000</v>
      </c>
      <c r="T53" s="25">
        <f t="shared" si="54"/>
        <v>35999999999.9999</v>
      </c>
      <c r="U53" s="25">
        <f t="shared" si="37"/>
        <v>-225751692.328929</v>
      </c>
      <c r="V53" s="25">
        <f t="shared" si="55"/>
        <v>1360333.33333333</v>
      </c>
      <c r="W53" s="25">
        <f t="shared" si="38"/>
        <v>-169.313769246697</v>
      </c>
      <c r="X53" s="26">
        <f t="shared" si="39"/>
        <v>19.8484665465586</v>
      </c>
      <c r="Y53" s="26">
        <f t="shared" si="56"/>
        <v>0.005</v>
      </c>
      <c r="Z53" s="26">
        <f t="shared" si="40"/>
        <v>-0.0397887357729738</v>
      </c>
      <c r="AA53" s="26">
        <f t="shared" si="57"/>
        <v>2.502</v>
      </c>
      <c r="AB53" s="26">
        <f t="shared" si="41"/>
        <v>-0.0159154943091895</v>
      </c>
      <c r="AC53" s="26">
        <f t="shared" si="42"/>
        <v>0.0801375962788764</v>
      </c>
      <c r="AD53" s="26">
        <f t="shared" si="58"/>
        <v>2467401100272.34</v>
      </c>
      <c r="AE53" s="26">
        <f t="shared" si="43"/>
        <v>888264396098.042</v>
      </c>
      <c r="AF53" s="26">
        <f t="shared" si="44"/>
        <v>785398163397.448</v>
      </c>
      <c r="AG53" s="26">
        <f t="shared" si="45"/>
        <v>2.080980988291</v>
      </c>
      <c r="AH53" s="6">
        <f t="shared" si="46"/>
        <v>0.529604134055948</v>
      </c>
      <c r="AI53" s="6">
        <f t="shared" si="47"/>
        <v>-5.52097266960434</v>
      </c>
      <c r="AK53" s="6">
        <f t="shared" si="48"/>
        <v>-0.352158953790336</v>
      </c>
      <c r="AL53" s="6">
        <f t="shared" si="49"/>
        <v>-82.4730844196579</v>
      </c>
      <c r="AM53" s="6">
        <f t="shared" si="50"/>
        <v>-57.9946167919165</v>
      </c>
      <c r="AN53" s="6">
        <f t="shared" si="51"/>
        <v>-21.8014094863518</v>
      </c>
      <c r="AO53" s="6">
        <f t="shared" si="52"/>
        <v>-79.7960262782683</v>
      </c>
      <c r="AP53" s="6">
        <f t="shared" si="53"/>
        <v>17.3787303482835</v>
      </c>
    </row>
    <row r="54" s="2" customFormat="1" spans="16:42">
      <c r="P54" s="16"/>
      <c r="Q54" s="17"/>
      <c r="S54" s="6">
        <v>300000</v>
      </c>
      <c r="T54" s="25">
        <f t="shared" si="54"/>
        <v>35999999999.9999</v>
      </c>
      <c r="U54" s="25">
        <f t="shared" si="37"/>
        <v>-150501128.219286</v>
      </c>
      <c r="V54" s="25">
        <f t="shared" si="55"/>
        <v>1360333.33333333</v>
      </c>
      <c r="W54" s="25">
        <f t="shared" si="38"/>
        <v>-112.875846164465</v>
      </c>
      <c r="X54" s="26">
        <f t="shared" si="39"/>
        <v>19.8482498282241</v>
      </c>
      <c r="Y54" s="26">
        <f t="shared" si="56"/>
        <v>0.005</v>
      </c>
      <c r="Z54" s="26">
        <f t="shared" si="40"/>
        <v>-0.0265258238486492</v>
      </c>
      <c r="AA54" s="26">
        <f t="shared" si="57"/>
        <v>2.502</v>
      </c>
      <c r="AB54" s="26">
        <f t="shared" si="41"/>
        <v>-0.0106103295394597</v>
      </c>
      <c r="AC54" s="26">
        <f t="shared" si="42"/>
        <v>0.0539422600623834</v>
      </c>
      <c r="AD54" s="26">
        <f t="shared" si="58"/>
        <v>2467401100272.34</v>
      </c>
      <c r="AE54" s="26">
        <f t="shared" si="43"/>
        <v>-1085656484119.83</v>
      </c>
      <c r="AF54" s="26">
        <f t="shared" si="44"/>
        <v>1178097245096.17</v>
      </c>
      <c r="AG54" s="26">
        <f t="shared" si="45"/>
        <v>1.54015269212021</v>
      </c>
      <c r="AH54" s="6">
        <f t="shared" si="46"/>
        <v>0.263836646471772</v>
      </c>
      <c r="AI54" s="6">
        <f t="shared" si="47"/>
        <v>-11.5732976363608</v>
      </c>
      <c r="AK54" s="6">
        <f t="shared" si="48"/>
        <v>-0.234774380095069</v>
      </c>
      <c r="AL54" s="6">
        <f t="shared" si="49"/>
        <v>-79.0822755845939</v>
      </c>
      <c r="AM54" s="6">
        <f t="shared" si="50"/>
        <v>-67.3801350519596</v>
      </c>
      <c r="AN54" s="6">
        <f t="shared" si="51"/>
        <v>-30.9637565320735</v>
      </c>
      <c r="AO54" s="6">
        <f t="shared" si="52"/>
        <v>-98.3438915840331</v>
      </c>
      <c r="AP54" s="6">
        <f t="shared" si="53"/>
        <v>2.33905845127794</v>
      </c>
    </row>
    <row r="55" s="2" customFormat="1" spans="16:42">
      <c r="P55" s="16"/>
      <c r="Q55" s="17"/>
      <c r="S55" s="6">
        <v>400000</v>
      </c>
      <c r="T55" s="25">
        <f t="shared" si="54"/>
        <v>35999999999.9999</v>
      </c>
      <c r="U55" s="25">
        <f t="shared" si="37"/>
        <v>-112875846.164464</v>
      </c>
      <c r="V55" s="25">
        <f t="shared" si="55"/>
        <v>1360333.33333333</v>
      </c>
      <c r="W55" s="25">
        <f t="shared" si="38"/>
        <v>-84.6568846233486</v>
      </c>
      <c r="X55" s="26">
        <f t="shared" si="39"/>
        <v>19.8481739762471</v>
      </c>
      <c r="Y55" s="26">
        <f t="shared" si="56"/>
        <v>0.005</v>
      </c>
      <c r="Z55" s="26">
        <f t="shared" si="40"/>
        <v>-0.0198943678864869</v>
      </c>
      <c r="AA55" s="26">
        <f t="shared" si="57"/>
        <v>2.502</v>
      </c>
      <c r="AB55" s="26">
        <f t="shared" si="41"/>
        <v>-0.00795774715459477</v>
      </c>
      <c r="AC55" s="26">
        <f t="shared" si="42"/>
        <v>0.0409931298370644</v>
      </c>
      <c r="AD55" s="26">
        <f t="shared" si="58"/>
        <v>2467401100272.34</v>
      </c>
      <c r="AE55" s="26">
        <f t="shared" si="43"/>
        <v>-3849145716424.85</v>
      </c>
      <c r="AF55" s="26">
        <f t="shared" si="44"/>
        <v>1570796326794.9</v>
      </c>
      <c r="AG55" s="26">
        <f t="shared" si="45"/>
        <v>0.593507375444657</v>
      </c>
      <c r="AH55" s="6">
        <f t="shared" si="46"/>
        <v>0.0772640980202341</v>
      </c>
      <c r="AI55" s="6">
        <f t="shared" si="47"/>
        <v>-22.2404452196108</v>
      </c>
      <c r="AK55" s="6">
        <f t="shared" si="48"/>
        <v>-0.176081242941051</v>
      </c>
      <c r="AL55" s="6">
        <f t="shared" si="49"/>
        <v>-75.7099658982087</v>
      </c>
      <c r="AM55" s="6">
        <f t="shared" si="50"/>
        <v>-72.6459753637387</v>
      </c>
      <c r="AN55" s="6">
        <f t="shared" si="51"/>
        <v>-38.6598082540901</v>
      </c>
      <c r="AO55" s="6">
        <f t="shared" si="52"/>
        <v>-111.305783617829</v>
      </c>
      <c r="AP55" s="6">
        <f t="shared" si="53"/>
        <v>-7.19183075897874</v>
      </c>
    </row>
    <row r="56" s="2" customFormat="1" spans="16:42">
      <c r="P56" s="16"/>
      <c r="Q56" s="17"/>
      <c r="S56" s="6">
        <v>500000</v>
      </c>
      <c r="T56" s="25">
        <f t="shared" si="54"/>
        <v>35999999999.9999</v>
      </c>
      <c r="U56" s="25">
        <f t="shared" si="37"/>
        <v>-90300676.9315716</v>
      </c>
      <c r="V56" s="25">
        <f t="shared" si="55"/>
        <v>1360333.33333333</v>
      </c>
      <c r="W56" s="25">
        <f t="shared" si="38"/>
        <v>-67.7255076986789</v>
      </c>
      <c r="X56" s="26">
        <f t="shared" si="39"/>
        <v>19.8481388675194</v>
      </c>
      <c r="Y56" s="26">
        <f t="shared" si="56"/>
        <v>0.005</v>
      </c>
      <c r="Z56" s="26">
        <f t="shared" si="40"/>
        <v>-0.0159154943091895</v>
      </c>
      <c r="AA56" s="26">
        <f t="shared" si="57"/>
        <v>2.502</v>
      </c>
      <c r="AB56" s="26">
        <f t="shared" si="41"/>
        <v>-0.00636619772367581</v>
      </c>
      <c r="AC56" s="26">
        <f t="shared" si="42"/>
        <v>0.033338050887691</v>
      </c>
      <c r="AD56" s="26">
        <f t="shared" si="58"/>
        <v>2467401100272.34</v>
      </c>
      <c r="AE56" s="26">
        <f t="shared" si="43"/>
        <v>-7402203300817.02</v>
      </c>
      <c r="AF56" s="26">
        <f t="shared" si="44"/>
        <v>1963495408493.62</v>
      </c>
      <c r="AG56" s="26">
        <f t="shared" si="45"/>
        <v>0.322191009560431</v>
      </c>
      <c r="AH56" s="6">
        <f t="shared" si="46"/>
        <v>0.0341109170513395</v>
      </c>
      <c r="AI56" s="6">
        <f t="shared" si="47"/>
        <v>-29.3421320938323</v>
      </c>
      <c r="AK56" s="6">
        <f t="shared" si="48"/>
        <v>-0.140865163896606</v>
      </c>
      <c r="AL56" s="6">
        <f t="shared" si="49"/>
        <v>-72.4136199483578</v>
      </c>
      <c r="AM56" s="6">
        <f t="shared" si="50"/>
        <v>-75.9637565320735</v>
      </c>
      <c r="AN56" s="6">
        <f t="shared" si="51"/>
        <v>-45</v>
      </c>
      <c r="AO56" s="6">
        <f t="shared" si="52"/>
        <v>-120.963756532074</v>
      </c>
      <c r="AP56" s="6">
        <f t="shared" si="53"/>
        <v>-13.5182416443284</v>
      </c>
    </row>
    <row r="57" s="2" customFormat="1" spans="16:42">
      <c r="P57" s="16"/>
      <c r="Q57" s="17"/>
      <c r="S57" s="6">
        <v>600000</v>
      </c>
      <c r="T57" s="25">
        <f t="shared" si="54"/>
        <v>35999999999.9999</v>
      </c>
      <c r="U57" s="25">
        <f t="shared" si="37"/>
        <v>-75250564.109643</v>
      </c>
      <c r="V57" s="25">
        <f t="shared" si="55"/>
        <v>1360333.33333333</v>
      </c>
      <c r="W57" s="25">
        <f t="shared" si="38"/>
        <v>-56.4379230822324</v>
      </c>
      <c r="X57" s="26">
        <f t="shared" si="39"/>
        <v>19.8481197960857</v>
      </c>
      <c r="Y57" s="26">
        <f t="shared" si="56"/>
        <v>0.005</v>
      </c>
      <c r="Z57" s="26">
        <f t="shared" si="40"/>
        <v>-0.0132629119243246</v>
      </c>
      <c r="AA57" s="26">
        <f t="shared" si="57"/>
        <v>2.502</v>
      </c>
      <c r="AB57" s="26">
        <f t="shared" si="41"/>
        <v>-0.00530516476972985</v>
      </c>
      <c r="AC57" s="26">
        <f t="shared" si="42"/>
        <v>0.0283254562888066</v>
      </c>
      <c r="AD57" s="26">
        <f t="shared" si="58"/>
        <v>2467401100272.34</v>
      </c>
      <c r="AE57" s="26">
        <f t="shared" si="43"/>
        <v>-11744829237296.3</v>
      </c>
      <c r="AF57" s="26">
        <f t="shared" si="44"/>
        <v>2356194490192.34</v>
      </c>
      <c r="AG57" s="26">
        <f t="shared" si="45"/>
        <v>0.205979927683938</v>
      </c>
      <c r="AH57" s="6">
        <f t="shared" si="46"/>
        <v>0.0185285387904648</v>
      </c>
      <c r="AI57" s="6">
        <f t="shared" si="47"/>
        <v>-34.6431765788248</v>
      </c>
      <c r="AK57" s="6">
        <f t="shared" si="48"/>
        <v>-0.117387713328963</v>
      </c>
      <c r="AL57" s="6">
        <f t="shared" si="49"/>
        <v>-69.2225145699419</v>
      </c>
      <c r="AM57" s="6">
        <f t="shared" si="50"/>
        <v>-78.2317110679794</v>
      </c>
      <c r="AN57" s="6">
        <f t="shared" si="51"/>
        <v>-50.1944289077348</v>
      </c>
      <c r="AO57" s="6">
        <f t="shared" si="52"/>
        <v>-128.426139975714</v>
      </c>
      <c r="AP57" s="6">
        <f t="shared" si="53"/>
        <v>-17.7660422589848</v>
      </c>
    </row>
    <row r="58" s="2" customFormat="1" spans="16:42">
      <c r="P58" s="16"/>
      <c r="Q58" s="17"/>
      <c r="S58" s="6">
        <v>700000</v>
      </c>
      <c r="T58" s="25">
        <f t="shared" ref="T58:T70" si="59">$C$12*$C$17*1000000000</f>
        <v>35999999999.9999</v>
      </c>
      <c r="U58" s="25">
        <f t="shared" si="37"/>
        <v>-64500483.5225511</v>
      </c>
      <c r="V58" s="25">
        <f t="shared" ref="V58:V70" si="60">$C$12*1000000+$C$17*1000</f>
        <v>1360333.33333333</v>
      </c>
      <c r="W58" s="25">
        <f t="shared" si="38"/>
        <v>-48.3753626419135</v>
      </c>
      <c r="X58" s="26">
        <f t="shared" si="39"/>
        <v>19.8481082966039</v>
      </c>
      <c r="Y58" s="26">
        <f t="shared" ref="Y58:Y70" si="61">$C$8*$C$15/1000</f>
        <v>0.005</v>
      </c>
      <c r="Z58" s="26">
        <f t="shared" si="40"/>
        <v>-0.0113682102208497</v>
      </c>
      <c r="AA58" s="26">
        <f t="shared" ref="AA58:AA70" si="62">$C$8+$C$15/1000</f>
        <v>2.502</v>
      </c>
      <c r="AB58" s="26">
        <f t="shared" si="41"/>
        <v>-0.00454728408833987</v>
      </c>
      <c r="AC58" s="26">
        <f t="shared" si="42"/>
        <v>0.0248184780247804</v>
      </c>
      <c r="AD58" s="26">
        <f t="shared" ref="AD58:AD70" si="63">(2*PI()*$C$9*500)^2</f>
        <v>2467401100272.34</v>
      </c>
      <c r="AE58" s="26">
        <f t="shared" si="43"/>
        <v>-16877023525862.8</v>
      </c>
      <c r="AF58" s="26">
        <f t="shared" si="44"/>
        <v>2748893571891.07</v>
      </c>
      <c r="AG58" s="26">
        <f t="shared" si="45"/>
        <v>0.144297313210812</v>
      </c>
      <c r="AH58" s="6">
        <f t="shared" si="46"/>
        <v>0.0113729333346092</v>
      </c>
      <c r="AI58" s="6">
        <f t="shared" si="47"/>
        <v>-38.8825501315179</v>
      </c>
      <c r="AK58" s="6">
        <f t="shared" si="48"/>
        <v>-0.100618079662241</v>
      </c>
      <c r="AL58" s="6">
        <f t="shared" si="49"/>
        <v>-66.1548712177104</v>
      </c>
      <c r="AM58" s="6">
        <f t="shared" si="50"/>
        <v>-79.8753283446022</v>
      </c>
      <c r="AN58" s="6">
        <f t="shared" si="51"/>
        <v>-54.4623222080256</v>
      </c>
      <c r="AO58" s="6">
        <f t="shared" si="52"/>
        <v>-134.337650552628</v>
      </c>
      <c r="AP58" s="6">
        <f t="shared" si="53"/>
        <v>-20.5931398500006</v>
      </c>
    </row>
    <row r="59" s="2" customFormat="1" spans="16:42">
      <c r="P59" s="16"/>
      <c r="Q59" s="17"/>
      <c r="S59" s="6">
        <v>800000</v>
      </c>
      <c r="T59" s="25">
        <f t="shared" si="59"/>
        <v>35999999999.9999</v>
      </c>
      <c r="U59" s="25">
        <f t="shared" si="37"/>
        <v>-56437923.0822322</v>
      </c>
      <c r="V59" s="25">
        <f t="shared" si="60"/>
        <v>1360333.33333333</v>
      </c>
      <c r="W59" s="25">
        <f t="shared" si="38"/>
        <v>-42.3284423116743</v>
      </c>
      <c r="X59" s="26">
        <f t="shared" si="39"/>
        <v>19.8481008329943</v>
      </c>
      <c r="Y59" s="26">
        <f t="shared" si="61"/>
        <v>0.005</v>
      </c>
      <c r="Z59" s="26">
        <f t="shared" si="40"/>
        <v>-0.00994718394324346</v>
      </c>
      <c r="AA59" s="26">
        <f t="shared" si="62"/>
        <v>2.502</v>
      </c>
      <c r="AB59" s="26">
        <f t="shared" si="41"/>
        <v>-0.00397887357729738</v>
      </c>
      <c r="AC59" s="26">
        <f t="shared" si="42"/>
        <v>0.0222484227592246</v>
      </c>
      <c r="AD59" s="26">
        <f t="shared" si="63"/>
        <v>2467401100272.34</v>
      </c>
      <c r="AE59" s="26">
        <f t="shared" si="43"/>
        <v>-22798786166516.4</v>
      </c>
      <c r="AF59" s="26">
        <f t="shared" si="44"/>
        <v>3141592653589.79</v>
      </c>
      <c r="AG59" s="26">
        <f t="shared" si="45"/>
        <v>0.107212030503767</v>
      </c>
      <c r="AH59" s="6">
        <f t="shared" si="46"/>
        <v>0.00757498347570631</v>
      </c>
      <c r="AI59" s="6">
        <f t="shared" si="47"/>
        <v>-42.4123662041498</v>
      </c>
      <c r="AK59" s="6">
        <f t="shared" si="48"/>
        <v>-0.0880408422311441</v>
      </c>
      <c r="AL59" s="6">
        <f t="shared" si="49"/>
        <v>-63.2222738022547</v>
      </c>
      <c r="AM59" s="6">
        <f t="shared" si="50"/>
        <v>-81.1193408494798</v>
      </c>
      <c r="AN59" s="6">
        <f t="shared" si="51"/>
        <v>-57.9946167919165</v>
      </c>
      <c r="AO59" s="6">
        <f t="shared" si="52"/>
        <v>-139.113957641396</v>
      </c>
      <c r="AP59" s="6">
        <f t="shared" si="53"/>
        <v>-22.4242722858818</v>
      </c>
    </row>
    <row r="60" s="2" customFormat="1" spans="16:42">
      <c r="P60" s="16"/>
      <c r="Q60" s="17"/>
      <c r="S60" s="6">
        <v>900000</v>
      </c>
      <c r="T60" s="25">
        <f t="shared" si="59"/>
        <v>35999999999.9999</v>
      </c>
      <c r="U60" s="25">
        <f t="shared" si="37"/>
        <v>-50167042.739762</v>
      </c>
      <c r="V60" s="25">
        <f t="shared" si="60"/>
        <v>1360333.33333333</v>
      </c>
      <c r="W60" s="25">
        <f t="shared" si="38"/>
        <v>-37.6252820548216</v>
      </c>
      <c r="X60" s="26">
        <f t="shared" si="39"/>
        <v>19.8480957159665</v>
      </c>
      <c r="Y60" s="26">
        <f t="shared" si="61"/>
        <v>0.005</v>
      </c>
      <c r="Z60" s="26">
        <f t="shared" si="40"/>
        <v>-0.00884194128288308</v>
      </c>
      <c r="AA60" s="26">
        <f t="shared" si="62"/>
        <v>2.502</v>
      </c>
      <c r="AB60" s="26">
        <f t="shared" si="41"/>
        <v>-0.00353677651315323</v>
      </c>
      <c r="AC60" s="26">
        <f t="shared" si="42"/>
        <v>0.0202992443030023</v>
      </c>
      <c r="AD60" s="26">
        <f t="shared" si="63"/>
        <v>2467401100272.34</v>
      </c>
      <c r="AE60" s="26">
        <f t="shared" si="43"/>
        <v>-29510117159257.2</v>
      </c>
      <c r="AF60" s="26">
        <f t="shared" si="44"/>
        <v>3534291735288.52</v>
      </c>
      <c r="AG60" s="26">
        <f t="shared" si="45"/>
        <v>0.0830187595652403</v>
      </c>
      <c r="AH60" s="6">
        <f t="shared" si="46"/>
        <v>0.00535173916747705</v>
      </c>
      <c r="AI60" s="6">
        <f t="shared" si="47"/>
        <v>-45.4301012265006</v>
      </c>
      <c r="AK60" s="6">
        <f t="shared" si="48"/>
        <v>-0.0782585401558895</v>
      </c>
      <c r="AL60" s="6">
        <f t="shared" si="49"/>
        <v>-60.4314269432421</v>
      </c>
      <c r="AM60" s="6">
        <f t="shared" si="50"/>
        <v>-82.0928372970416</v>
      </c>
      <c r="AN60" s="6">
        <f t="shared" si="51"/>
        <v>-60.9453959009229</v>
      </c>
      <c r="AO60" s="6">
        <f t="shared" si="52"/>
        <v>-143.038233197964</v>
      </c>
      <c r="AP60" s="6">
        <f t="shared" si="53"/>
        <v>-23.547918681362</v>
      </c>
    </row>
    <row r="61" s="2" customFormat="1" spans="16:42">
      <c r="P61" s="16"/>
      <c r="Q61" s="17"/>
      <c r="S61" s="6">
        <v>1000000</v>
      </c>
      <c r="T61" s="25">
        <f t="shared" si="59"/>
        <v>35999999999.9999</v>
      </c>
      <c r="U61" s="25">
        <f t="shared" si="37"/>
        <v>-45150338.4657858</v>
      </c>
      <c r="V61" s="25">
        <f t="shared" si="60"/>
        <v>1360333.33333333</v>
      </c>
      <c r="W61" s="25">
        <f t="shared" si="38"/>
        <v>-33.8627538493394</v>
      </c>
      <c r="X61" s="26">
        <f t="shared" si="39"/>
        <v>19.8480920557858</v>
      </c>
      <c r="Y61" s="26">
        <f t="shared" si="61"/>
        <v>0.005</v>
      </c>
      <c r="Z61" s="26">
        <f t="shared" si="40"/>
        <v>-0.00795774715459477</v>
      </c>
      <c r="AA61" s="26">
        <f t="shared" si="62"/>
        <v>2.502</v>
      </c>
      <c r="AB61" s="26">
        <f t="shared" si="41"/>
        <v>-0.00318309886183791</v>
      </c>
      <c r="AC61" s="26">
        <f t="shared" si="42"/>
        <v>0.0187813146788771</v>
      </c>
      <c r="AD61" s="26">
        <f t="shared" si="63"/>
        <v>2467401100272.34</v>
      </c>
      <c r="AE61" s="26">
        <f t="shared" si="43"/>
        <v>-37011016504085.1</v>
      </c>
      <c r="AF61" s="26">
        <f t="shared" si="44"/>
        <v>3926990816987.24</v>
      </c>
      <c r="AG61" s="26">
        <f t="shared" si="45"/>
        <v>0.0662945421007762</v>
      </c>
      <c r="AH61" s="6">
        <f t="shared" si="46"/>
        <v>0.0039540532410326</v>
      </c>
      <c r="AI61" s="6">
        <f t="shared" si="47"/>
        <v>-48.059149744802</v>
      </c>
      <c r="AK61" s="6">
        <f t="shared" si="48"/>
        <v>-0.0704326949780397</v>
      </c>
      <c r="AL61" s="6">
        <f t="shared" si="49"/>
        <v>-57.7851994661126</v>
      </c>
      <c r="AM61" s="6">
        <f t="shared" si="50"/>
        <v>-82.8749836510982</v>
      </c>
      <c r="AN61" s="6">
        <f t="shared" si="51"/>
        <v>-63.434948822922</v>
      </c>
      <c r="AO61" s="6">
        <f t="shared" si="52"/>
        <v>-146.30993247402</v>
      </c>
      <c r="AP61" s="6">
        <f t="shared" si="53"/>
        <v>-24.1655646351106</v>
      </c>
    </row>
    <row r="62" s="2" customFormat="1" spans="16:42">
      <c r="P62" s="16"/>
      <c r="Q62" s="17"/>
      <c r="S62" s="6">
        <v>2000000</v>
      </c>
      <c r="T62" s="25">
        <f t="shared" si="59"/>
        <v>35999999999.9999</v>
      </c>
      <c r="U62" s="25">
        <f t="shared" si="37"/>
        <v>-22575169.2328929</v>
      </c>
      <c r="V62" s="25">
        <f t="shared" si="60"/>
        <v>1360333.33333333</v>
      </c>
      <c r="W62" s="25">
        <f t="shared" si="38"/>
        <v>-16.9313769246697</v>
      </c>
      <c r="X62" s="26">
        <f t="shared" si="39"/>
        <v>19.8480803528351</v>
      </c>
      <c r="Y62" s="26">
        <f t="shared" si="61"/>
        <v>0.005</v>
      </c>
      <c r="Z62" s="26">
        <f t="shared" si="40"/>
        <v>-0.00397887357729738</v>
      </c>
      <c r="AA62" s="26">
        <f t="shared" si="62"/>
        <v>2.502</v>
      </c>
      <c r="AB62" s="26">
        <f t="shared" si="41"/>
        <v>-0.00159154943091895</v>
      </c>
      <c r="AC62" s="26">
        <f t="shared" si="42"/>
        <v>0.0127696775942886</v>
      </c>
      <c r="AD62" s="26">
        <f t="shared" si="63"/>
        <v>2467401100272.34</v>
      </c>
      <c r="AE62" s="26">
        <f t="shared" si="43"/>
        <v>-155446269317157</v>
      </c>
      <c r="AF62" s="26">
        <f t="shared" si="44"/>
        <v>7853981633974.48</v>
      </c>
      <c r="AG62" s="26">
        <f t="shared" si="45"/>
        <v>0.0158527941537365</v>
      </c>
      <c r="AH62" s="6">
        <f t="shared" si="46"/>
        <v>0.000642871606684991</v>
      </c>
      <c r="AI62" s="6">
        <f t="shared" si="47"/>
        <v>-63.8375151006463</v>
      </c>
      <c r="AK62" s="6">
        <f t="shared" si="48"/>
        <v>-0.0352163616177869</v>
      </c>
      <c r="AL62" s="6">
        <f t="shared" si="49"/>
        <v>-38.4754407899463</v>
      </c>
      <c r="AM62" s="6">
        <f t="shared" si="50"/>
        <v>-86.4236656250027</v>
      </c>
      <c r="AN62" s="6">
        <f t="shared" si="51"/>
        <v>-75.9637565320735</v>
      </c>
      <c r="AO62" s="6">
        <f t="shared" si="52"/>
        <v>-162.387422157076</v>
      </c>
      <c r="AP62" s="6">
        <f t="shared" si="53"/>
        <v>-20.8980793086401</v>
      </c>
    </row>
    <row r="63" s="2" customFormat="1" spans="16:42">
      <c r="P63" s="16"/>
      <c r="Q63" s="17"/>
      <c r="S63" s="6">
        <v>3000000</v>
      </c>
      <c r="T63" s="25">
        <f t="shared" si="59"/>
        <v>35999999999.9999</v>
      </c>
      <c r="U63" s="25">
        <f t="shared" si="37"/>
        <v>-15050112.8219286</v>
      </c>
      <c r="V63" s="25">
        <f t="shared" si="60"/>
        <v>1360333.33333333</v>
      </c>
      <c r="W63" s="25">
        <f t="shared" si="38"/>
        <v>-11.2875846164465</v>
      </c>
      <c r="X63" s="26">
        <f t="shared" si="39"/>
        <v>19.8480781856213</v>
      </c>
      <c r="Y63" s="26">
        <f t="shared" si="61"/>
        <v>0.005</v>
      </c>
      <c r="Z63" s="26">
        <f t="shared" si="40"/>
        <v>-0.00265258238486492</v>
      </c>
      <c r="AA63" s="26">
        <f t="shared" si="62"/>
        <v>2.502</v>
      </c>
      <c r="AB63" s="26">
        <f t="shared" si="41"/>
        <v>-0.00106103295394597</v>
      </c>
      <c r="AC63" s="26">
        <f t="shared" si="42"/>
        <v>0.011311054962471</v>
      </c>
      <c r="AD63" s="26">
        <f t="shared" si="63"/>
        <v>2467401100272.34</v>
      </c>
      <c r="AE63" s="26">
        <f t="shared" si="43"/>
        <v>-352838357338945</v>
      </c>
      <c r="AF63" s="26">
        <f t="shared" si="44"/>
        <v>11780972450961.7</v>
      </c>
      <c r="AG63" s="26">
        <f t="shared" si="45"/>
        <v>0.00698911222382452</v>
      </c>
      <c r="AH63" s="6">
        <f t="shared" si="46"/>
        <v>0.000251051934018406</v>
      </c>
      <c r="AI63" s="6">
        <f t="shared" si="47"/>
        <v>-72.004728572406</v>
      </c>
      <c r="AK63" s="6">
        <f t="shared" si="48"/>
        <v>-0.0234775761561516</v>
      </c>
      <c r="AL63" s="6">
        <f t="shared" si="49"/>
        <v>-27.922389600978</v>
      </c>
      <c r="AM63" s="6">
        <f t="shared" si="50"/>
        <v>-87.6140559696112</v>
      </c>
      <c r="AN63" s="6">
        <f t="shared" si="51"/>
        <v>-80.5376777919744</v>
      </c>
      <c r="AO63" s="6">
        <f t="shared" si="52"/>
        <v>-168.151733761586</v>
      </c>
      <c r="AP63" s="6">
        <f t="shared" si="53"/>
        <v>-16.0976009387201</v>
      </c>
    </row>
    <row r="64" s="2" customFormat="1" spans="16:42">
      <c r="P64" s="16"/>
      <c r="Q64" s="17"/>
      <c r="S64" s="6">
        <v>4000000</v>
      </c>
      <c r="T64" s="25">
        <f t="shared" si="59"/>
        <v>35999999999.9999</v>
      </c>
      <c r="U64" s="25">
        <f t="shared" si="37"/>
        <v>-11287584.6164464</v>
      </c>
      <c r="V64" s="25">
        <f t="shared" si="60"/>
        <v>1360333.33333333</v>
      </c>
      <c r="W64" s="25">
        <f t="shared" si="38"/>
        <v>-8.46568846233486</v>
      </c>
      <c r="X64" s="26">
        <f t="shared" si="39"/>
        <v>19.8480774270964</v>
      </c>
      <c r="Y64" s="26">
        <f t="shared" si="61"/>
        <v>0.005</v>
      </c>
      <c r="Z64" s="26">
        <f t="shared" si="40"/>
        <v>-0.00198943678864869</v>
      </c>
      <c r="AA64" s="26">
        <f t="shared" si="62"/>
        <v>2.502</v>
      </c>
      <c r="AB64" s="26">
        <f t="shared" si="41"/>
        <v>-0.000795774715459477</v>
      </c>
      <c r="AC64" s="26">
        <f t="shared" si="42"/>
        <v>0.0107538976705601</v>
      </c>
      <c r="AD64" s="26">
        <f t="shared" si="63"/>
        <v>2467401100272.34</v>
      </c>
      <c r="AE64" s="26">
        <f t="shared" si="43"/>
        <v>-629187280569446</v>
      </c>
      <c r="AF64" s="26">
        <f t="shared" si="44"/>
        <v>15707963267949</v>
      </c>
      <c r="AG64" s="26">
        <f t="shared" si="45"/>
        <v>0.00392034709009368</v>
      </c>
      <c r="AH64" s="6">
        <f t="shared" si="46"/>
        <v>0.000133884051729581</v>
      </c>
      <c r="AI64" s="6">
        <f t="shared" si="47"/>
        <v>-77.4654230614551</v>
      </c>
      <c r="AK64" s="6">
        <f t="shared" si="48"/>
        <v>-0.0176081825749909</v>
      </c>
      <c r="AL64" s="6">
        <f t="shared" si="49"/>
        <v>-21.6787607376865</v>
      </c>
      <c r="AM64" s="6">
        <f t="shared" si="50"/>
        <v>-88.2100893917539</v>
      </c>
      <c r="AN64" s="6">
        <f t="shared" si="51"/>
        <v>-82.8749836510982</v>
      </c>
      <c r="AO64" s="6">
        <f t="shared" si="52"/>
        <v>-171.085073042852</v>
      </c>
      <c r="AP64" s="6">
        <f t="shared" si="53"/>
        <v>-12.7814419631135</v>
      </c>
    </row>
    <row r="65" s="2" customFormat="1" spans="16:42">
      <c r="P65" s="16"/>
      <c r="Q65" s="17"/>
      <c r="S65" s="6">
        <v>5000000</v>
      </c>
      <c r="T65" s="25">
        <f t="shared" si="59"/>
        <v>35999999999.9999</v>
      </c>
      <c r="U65" s="25">
        <f t="shared" si="37"/>
        <v>-9030067.69315716</v>
      </c>
      <c r="V65" s="25">
        <f t="shared" si="60"/>
        <v>1360333.33333333</v>
      </c>
      <c r="W65" s="25">
        <f t="shared" si="38"/>
        <v>-6.77255076986789</v>
      </c>
      <c r="X65" s="26">
        <f t="shared" si="39"/>
        <v>19.8480770760077</v>
      </c>
      <c r="Y65" s="26">
        <f t="shared" si="61"/>
        <v>0.005</v>
      </c>
      <c r="Z65" s="26">
        <f t="shared" si="40"/>
        <v>-0.00159154943091895</v>
      </c>
      <c r="AA65" s="26">
        <f t="shared" si="62"/>
        <v>2.502</v>
      </c>
      <c r="AB65" s="26">
        <f t="shared" si="41"/>
        <v>-0.000636619772367581</v>
      </c>
      <c r="AC65" s="26">
        <f t="shared" si="42"/>
        <v>0.0104859959510016</v>
      </c>
      <c r="AD65" s="26">
        <f t="shared" si="63"/>
        <v>2467401100272.34</v>
      </c>
      <c r="AE65" s="26">
        <f t="shared" si="43"/>
        <v>-984493039008663</v>
      </c>
      <c r="AF65" s="26">
        <f t="shared" si="44"/>
        <v>19634954084936.2</v>
      </c>
      <c r="AG65" s="26">
        <f t="shared" si="45"/>
        <v>0.0025057673513521</v>
      </c>
      <c r="AH65" s="6">
        <f t="shared" si="46"/>
        <v>8.34427968542368e-5</v>
      </c>
      <c r="AI65" s="6">
        <f t="shared" si="47"/>
        <v>-81.5722229511691</v>
      </c>
      <c r="AK65" s="6">
        <f t="shared" si="48"/>
        <v>-0.0140865462295381</v>
      </c>
      <c r="AL65" s="6">
        <f t="shared" si="49"/>
        <v>-17.642208564153</v>
      </c>
      <c r="AM65" s="6">
        <f t="shared" si="50"/>
        <v>-88.5679038158354</v>
      </c>
      <c r="AN65" s="6">
        <f t="shared" si="51"/>
        <v>-84.2894068625004</v>
      </c>
      <c r="AO65" s="6">
        <f t="shared" si="52"/>
        <v>-172.857310678336</v>
      </c>
      <c r="AP65" s="6">
        <f t="shared" si="53"/>
        <v>-10.5136057887185</v>
      </c>
    </row>
    <row r="66" s="2" customFormat="1" spans="16:42">
      <c r="P66" s="16"/>
      <c r="Q66" s="17"/>
      <c r="S66" s="6">
        <v>6000000</v>
      </c>
      <c r="T66" s="25">
        <f t="shared" si="59"/>
        <v>35999999999.9999</v>
      </c>
      <c r="U66" s="25">
        <f t="shared" si="37"/>
        <v>-7525056.4109643</v>
      </c>
      <c r="V66" s="25">
        <f t="shared" si="60"/>
        <v>1360333.33333333</v>
      </c>
      <c r="W66" s="25">
        <f t="shared" si="38"/>
        <v>-5.64379230822324</v>
      </c>
      <c r="X66" s="26">
        <f t="shared" si="39"/>
        <v>19.8480768852929</v>
      </c>
      <c r="Y66" s="26">
        <f t="shared" si="61"/>
        <v>0.005</v>
      </c>
      <c r="Z66" s="26">
        <f t="shared" si="40"/>
        <v>-0.00132629119243246</v>
      </c>
      <c r="AA66" s="26">
        <f t="shared" si="62"/>
        <v>2.502</v>
      </c>
      <c r="AB66" s="26">
        <f t="shared" si="41"/>
        <v>-0.000530516476972984</v>
      </c>
      <c r="AC66" s="26">
        <f t="shared" si="42"/>
        <v>0.0103375594743189</v>
      </c>
      <c r="AD66" s="26">
        <f t="shared" si="63"/>
        <v>2467401100272.34</v>
      </c>
      <c r="AE66" s="26">
        <f t="shared" si="43"/>
        <v>-1418755632656600</v>
      </c>
      <c r="AF66" s="26">
        <f t="shared" si="44"/>
        <v>23561944901923.4</v>
      </c>
      <c r="AG66" s="26">
        <f t="shared" si="45"/>
        <v>0.0017388906512196</v>
      </c>
      <c r="AH66" s="6">
        <f t="shared" si="46"/>
        <v>5.70858812812188e-5</v>
      </c>
      <c r="AI66" s="6">
        <f t="shared" si="47"/>
        <v>-84.869425800005</v>
      </c>
      <c r="AK66" s="6">
        <f t="shared" si="48"/>
        <v>-0.011738788601364</v>
      </c>
      <c r="AL66" s="6">
        <f t="shared" si="49"/>
        <v>-14.8439024581152</v>
      </c>
      <c r="AM66" s="6">
        <f t="shared" si="50"/>
        <v>-88.806510576018</v>
      </c>
      <c r="AN66" s="6">
        <f t="shared" si="51"/>
        <v>-85.2363583092738</v>
      </c>
      <c r="AO66" s="6">
        <f t="shared" si="52"/>
        <v>-174.042868885292</v>
      </c>
      <c r="AP66" s="6">
        <f t="shared" si="53"/>
        <v>-8.89851013200857</v>
      </c>
    </row>
    <row r="67" s="2" customFormat="1" spans="16:42">
      <c r="P67" s="16"/>
      <c r="Q67" s="17"/>
      <c r="S67" s="6">
        <v>7000000</v>
      </c>
      <c r="T67" s="25">
        <f t="shared" si="59"/>
        <v>35999999999.9999</v>
      </c>
      <c r="U67" s="25">
        <f t="shared" si="37"/>
        <v>-6450048.35225511</v>
      </c>
      <c r="V67" s="25">
        <f t="shared" si="60"/>
        <v>1360333.33333333</v>
      </c>
      <c r="W67" s="25">
        <f t="shared" si="38"/>
        <v>-4.83753626419135</v>
      </c>
      <c r="X67" s="26">
        <f t="shared" si="39"/>
        <v>19.8480767702978</v>
      </c>
      <c r="Y67" s="26">
        <f t="shared" si="61"/>
        <v>0.005</v>
      </c>
      <c r="Z67" s="26">
        <f t="shared" si="40"/>
        <v>-0.00113682102208497</v>
      </c>
      <c r="AA67" s="26">
        <f t="shared" si="62"/>
        <v>2.502</v>
      </c>
      <c r="AB67" s="26">
        <f t="shared" si="41"/>
        <v>-0.000454728408833987</v>
      </c>
      <c r="AC67" s="26">
        <f t="shared" si="42"/>
        <v>0.0102470178720343</v>
      </c>
      <c r="AD67" s="26">
        <f t="shared" si="63"/>
        <v>2467401100272.34</v>
      </c>
      <c r="AE67" s="26">
        <f t="shared" si="43"/>
        <v>-1931975061513240</v>
      </c>
      <c r="AF67" s="26">
        <f t="shared" si="44"/>
        <v>27488935718910.7</v>
      </c>
      <c r="AG67" s="26">
        <f t="shared" si="45"/>
        <v>0.00127700995085992</v>
      </c>
      <c r="AH67" s="6">
        <f t="shared" si="46"/>
        <v>4.15556604335482e-5</v>
      </c>
      <c r="AI67" s="6">
        <f t="shared" si="47"/>
        <v>-87.6273962233392</v>
      </c>
      <c r="AK67" s="6">
        <f t="shared" si="48"/>
        <v>-0.0100618188408353</v>
      </c>
      <c r="AL67" s="6">
        <f t="shared" si="49"/>
        <v>-12.7988365153218</v>
      </c>
      <c r="AM67" s="6">
        <f t="shared" si="50"/>
        <v>-88.9769698113322</v>
      </c>
      <c r="AN67" s="6">
        <f t="shared" si="51"/>
        <v>-85.9143832200251</v>
      </c>
      <c r="AO67" s="6">
        <f t="shared" si="52"/>
        <v>-174.891353031357</v>
      </c>
      <c r="AP67" s="6">
        <f t="shared" si="53"/>
        <v>-7.70025136551965</v>
      </c>
    </row>
    <row r="68" s="2" customFormat="1" spans="16:42">
      <c r="P68" s="16"/>
      <c r="Q68" s="17"/>
      <c r="S68" s="6">
        <v>8000000</v>
      </c>
      <c r="T68" s="25">
        <f t="shared" si="59"/>
        <v>35999999999.9999</v>
      </c>
      <c r="U68" s="25">
        <f t="shared" si="37"/>
        <v>-5643792.30822322</v>
      </c>
      <c r="V68" s="25">
        <f t="shared" si="60"/>
        <v>1360333.33333333</v>
      </c>
      <c r="W68" s="25">
        <f t="shared" si="38"/>
        <v>-4.23284423116743</v>
      </c>
      <c r="X68" s="26">
        <f t="shared" si="39"/>
        <v>19.8480766956616</v>
      </c>
      <c r="Y68" s="26">
        <f t="shared" si="61"/>
        <v>0.005</v>
      </c>
      <c r="Z68" s="26">
        <f t="shared" si="40"/>
        <v>-0.000994718394324346</v>
      </c>
      <c r="AA68" s="26">
        <f t="shared" si="62"/>
        <v>2.502</v>
      </c>
      <c r="AB68" s="26">
        <f t="shared" si="41"/>
        <v>-0.000397887357729738</v>
      </c>
      <c r="AC68" s="26">
        <f t="shared" si="42"/>
        <v>0.0101878222856297</v>
      </c>
      <c r="AD68" s="26">
        <f t="shared" si="63"/>
        <v>2467401100272.34</v>
      </c>
      <c r="AE68" s="26">
        <f t="shared" si="43"/>
        <v>-2524151325578600</v>
      </c>
      <c r="AF68" s="26">
        <f t="shared" si="44"/>
        <v>31415926535897.9</v>
      </c>
      <c r="AG68" s="26">
        <f t="shared" si="45"/>
        <v>0.000977441403584655</v>
      </c>
      <c r="AH68" s="6">
        <f t="shared" si="46"/>
        <v>3.16235414602088e-5</v>
      </c>
      <c r="AI68" s="6">
        <f t="shared" si="47"/>
        <v>-89.9997899173599</v>
      </c>
      <c r="AK68" s="6">
        <f t="shared" si="48"/>
        <v>-0.00880409150825768</v>
      </c>
      <c r="AL68" s="6">
        <f t="shared" si="49"/>
        <v>-11.2426141077895</v>
      </c>
      <c r="AM68" s="6">
        <f t="shared" si="50"/>
        <v>-89.1048262897889</v>
      </c>
      <c r="AN68" s="6">
        <f t="shared" si="51"/>
        <v>-86.4236656250027</v>
      </c>
      <c r="AO68" s="6">
        <f t="shared" si="52"/>
        <v>-175.528491914792</v>
      </c>
      <c r="AP68" s="6">
        <f t="shared" si="53"/>
        <v>-6.77991011408974</v>
      </c>
    </row>
    <row r="69" s="2" customFormat="1" spans="16:42">
      <c r="P69" s="16"/>
      <c r="Q69" s="17"/>
      <c r="S69" s="6">
        <v>9000000</v>
      </c>
      <c r="T69" s="25">
        <f t="shared" si="59"/>
        <v>35999999999.9999</v>
      </c>
      <c r="U69" s="25">
        <f t="shared" si="37"/>
        <v>-5016704.2739762</v>
      </c>
      <c r="V69" s="25">
        <f t="shared" si="60"/>
        <v>1360333.33333333</v>
      </c>
      <c r="W69" s="25">
        <f t="shared" si="38"/>
        <v>-3.76252820548216</v>
      </c>
      <c r="X69" s="26">
        <f t="shared" si="39"/>
        <v>19.8480766444913</v>
      </c>
      <c r="Y69" s="26">
        <f t="shared" si="61"/>
        <v>0.005</v>
      </c>
      <c r="Z69" s="26">
        <f t="shared" si="40"/>
        <v>-0.000884194128288307</v>
      </c>
      <c r="AA69" s="26">
        <f t="shared" si="62"/>
        <v>2.502</v>
      </c>
      <c r="AB69" s="26">
        <f t="shared" si="41"/>
        <v>-0.000353677651315323</v>
      </c>
      <c r="AC69" s="26">
        <f t="shared" si="42"/>
        <v>0.0101470384470829</v>
      </c>
      <c r="AD69" s="26">
        <f t="shared" si="63"/>
        <v>2467401100272.34</v>
      </c>
      <c r="AE69" s="26">
        <f t="shared" si="43"/>
        <v>-3195284424852680</v>
      </c>
      <c r="AF69" s="26">
        <f t="shared" si="44"/>
        <v>35342917352885.2</v>
      </c>
      <c r="AG69" s="26">
        <f t="shared" si="45"/>
        <v>0.000772153539135237</v>
      </c>
      <c r="AH69" s="6">
        <f t="shared" si="46"/>
        <v>2.4881776415618e-5</v>
      </c>
      <c r="AI69" s="6">
        <f t="shared" si="47"/>
        <v>-92.0823723349621</v>
      </c>
      <c r="AK69" s="6">
        <f t="shared" si="48"/>
        <v>-0.00782585913217952</v>
      </c>
      <c r="AL69" s="6">
        <f t="shared" si="49"/>
        <v>-10.0203405445552</v>
      </c>
      <c r="AM69" s="6">
        <f t="shared" si="50"/>
        <v>-89.2042764472607</v>
      </c>
      <c r="AN69" s="6">
        <f t="shared" si="51"/>
        <v>-86.8201698801358</v>
      </c>
      <c r="AO69" s="6">
        <f t="shared" si="52"/>
        <v>-176.024446327397</v>
      </c>
      <c r="AP69" s="6">
        <f t="shared" si="53"/>
        <v>-6.05261273108437</v>
      </c>
    </row>
    <row r="70" s="2" customFormat="1" spans="16:42">
      <c r="P70" s="16"/>
      <c r="Q70" s="17"/>
      <c r="S70" s="6">
        <v>10000000</v>
      </c>
      <c r="T70" s="25">
        <f t="shared" si="59"/>
        <v>35999999999.9999</v>
      </c>
      <c r="U70" s="25">
        <f t="shared" si="37"/>
        <v>-4515033.84657858</v>
      </c>
      <c r="V70" s="25">
        <f t="shared" si="60"/>
        <v>1360333.33333333</v>
      </c>
      <c r="W70" s="25">
        <f t="shared" si="38"/>
        <v>-3.38627538493394</v>
      </c>
      <c r="X70" s="26">
        <f t="shared" si="39"/>
        <v>19.8480766078895</v>
      </c>
      <c r="Y70" s="26">
        <f t="shared" si="61"/>
        <v>0.005</v>
      </c>
      <c r="Z70" s="26">
        <f t="shared" si="40"/>
        <v>-0.000795774715459477</v>
      </c>
      <c r="AA70" s="26">
        <f t="shared" si="62"/>
        <v>2.502</v>
      </c>
      <c r="AB70" s="26">
        <f t="shared" si="41"/>
        <v>-0.000318309886183791</v>
      </c>
      <c r="AC70" s="26">
        <f t="shared" si="42"/>
        <v>0.0101177651554312</v>
      </c>
      <c r="AD70" s="26">
        <f t="shared" si="63"/>
        <v>2467401100272.34</v>
      </c>
      <c r="AE70" s="26">
        <f t="shared" si="43"/>
        <v>-3945374359335470</v>
      </c>
      <c r="AF70" s="26">
        <f t="shared" si="44"/>
        <v>39269908169872.4</v>
      </c>
      <c r="AG70" s="26">
        <f t="shared" si="45"/>
        <v>0.000625359892774561</v>
      </c>
      <c r="AH70" s="6">
        <f t="shared" si="46"/>
        <v>2.00933814723599e-5</v>
      </c>
      <c r="AI70" s="6">
        <f t="shared" si="47"/>
        <v>-93.9389394121633</v>
      </c>
      <c r="AK70" s="6">
        <f t="shared" si="48"/>
        <v>-0.00704327322779932</v>
      </c>
      <c r="AL70" s="6">
        <f t="shared" si="49"/>
        <v>-9.0357717852898</v>
      </c>
      <c r="AM70" s="6">
        <f t="shared" si="50"/>
        <v>-89.2838400545296</v>
      </c>
      <c r="AN70" s="6">
        <f t="shared" si="51"/>
        <v>-87.1375947738883</v>
      </c>
      <c r="AO70" s="6">
        <f t="shared" si="52"/>
        <v>-176.421434828418</v>
      </c>
      <c r="AP70" s="6">
        <f t="shared" si="53"/>
        <v>-5.46424988693559</v>
      </c>
    </row>
    <row r="71" s="2" customFormat="1" spans="16:17">
      <c r="P71" s="16"/>
      <c r="Q71" s="17"/>
    </row>
  </sheetData>
  <sheetProtection password="8294" sheet="1" objects="1"/>
  <mergeCells count="10">
    <mergeCell ref="L2:N2"/>
    <mergeCell ref="S4:AI4"/>
    <mergeCell ref="T5:X5"/>
    <mergeCell ref="Y5:AC5"/>
    <mergeCell ref="AD5:AG5"/>
    <mergeCell ref="AK5:AO5"/>
    <mergeCell ref="S5:S6"/>
    <mergeCell ref="AH5:AH6"/>
    <mergeCell ref="AI5:AI6"/>
    <mergeCell ref="AP5:AP6"/>
  </mergeCells>
  <hyperlinks>
    <hyperlink ref="L2" r:id="rId2" display="https://analogista.jp/"/>
  </hyperlinks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電流モード位相補償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Analogista</dc:creator>
  <dcterms:created xsi:type="dcterms:W3CDTF">2021-04-13T13:16:00Z</dcterms:created>
  <dcterms:modified xsi:type="dcterms:W3CDTF">2021-04-18T06:40:29Z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1041-10.8.0.5423</vt:lpwstr>
  </property>
</Properties>
</file>